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3" activeTab="8"/>
  </bookViews>
  <sheets>
    <sheet name="Parameters" sheetId="1" r:id="rId1"/>
    <sheet name="profitability stm" sheetId="2" r:id="rId2"/>
    <sheet name="Balance Sheet" sheetId="3" r:id="rId3"/>
    <sheet name="valuation of stock" sheetId="4" r:id="rId4"/>
    <sheet name="Quantitative Statement" sheetId="5" r:id="rId5"/>
    <sheet name="dscr" sheetId="6" r:id="rId6"/>
    <sheet name="Dep" sheetId="7" r:id="rId7"/>
    <sheet name="REP SCH FOR U 4" sheetId="8" r:id="rId8"/>
    <sheet name="MPBF" sheetId="9" r:id="rId9"/>
  </sheets>
  <definedNames>
    <definedName name="_xlnm.Print_Area" localSheetId="2">'Balance Sheet'!$A$1:$H$33</definedName>
    <definedName name="_xlnm.Print_Area" localSheetId="6">'Dep'!$A$1:$G$79</definedName>
    <definedName name="_xlnm.Print_Area" localSheetId="5">'dscr'!$A$1:$H$13</definedName>
    <definedName name="_xlnm.Print_Area" localSheetId="8">'MPBF'!$A$1:$H$14</definedName>
    <definedName name="_xlnm.Print_Area" localSheetId="0">'Parameters'!$A$4:$D$35</definedName>
    <definedName name="_xlnm.Print_Area" localSheetId="1">'profitability stm'!$A$1:$H$70</definedName>
    <definedName name="_xlnm.Print_Area" localSheetId="4">'Quantitative Statement'!$A$1:$G$57</definedName>
    <definedName name="_xlnm.Print_Area" localSheetId="7">'REP SCH FOR U 4'!$A$1:$F$139</definedName>
    <definedName name="_xlnm.Print_Area" localSheetId="3">'valuation of stock'!$A$37:$N$65</definedName>
  </definedNames>
  <calcPr fullCalcOnLoad="1"/>
</workbook>
</file>

<file path=xl/sharedStrings.xml><?xml version="1.0" encoding="utf-8"?>
<sst xmlns="http://schemas.openxmlformats.org/spreadsheetml/2006/main" count="812" uniqueCount="229">
  <si>
    <t>Quantitative Statement</t>
  </si>
  <si>
    <t>Year</t>
  </si>
  <si>
    <t>Kappas</t>
  </si>
  <si>
    <t>Particulars</t>
  </si>
  <si>
    <t>Lint</t>
  </si>
  <si>
    <t>Seeds</t>
  </si>
  <si>
    <t>2009-2010</t>
  </si>
  <si>
    <t>OP. Stock</t>
  </si>
  <si>
    <t>Purchases</t>
  </si>
  <si>
    <t>Total</t>
  </si>
  <si>
    <t>Less: CL</t>
  </si>
  <si>
    <t>Ginning</t>
  </si>
  <si>
    <t>From Ginning</t>
  </si>
  <si>
    <t>Sales</t>
  </si>
  <si>
    <t>Cl. Stock</t>
  </si>
  <si>
    <t>Nil</t>
  </si>
  <si>
    <t>2010-2011</t>
  </si>
  <si>
    <t>2011-2012</t>
  </si>
  <si>
    <t>2012-2013</t>
  </si>
  <si>
    <t>2013-2014</t>
  </si>
  <si>
    <t>2014-2015</t>
  </si>
  <si>
    <t>2015-2016</t>
  </si>
  <si>
    <t>Qtls</t>
  </si>
  <si>
    <t xml:space="preserve">         FINANCIALS OF THE PROJECT</t>
  </si>
  <si>
    <t>S.NO:</t>
  </si>
  <si>
    <t>PARTICULARS</t>
  </si>
  <si>
    <t>AMOUNT</t>
  </si>
  <si>
    <t xml:space="preserve">MACHINERY </t>
  </si>
  <si>
    <t>PRELIMINARY AND PRE-OPERATIVE EXPENSES</t>
  </si>
  <si>
    <t xml:space="preserve"> </t>
  </si>
  <si>
    <t>MEANS  OF FINANCE</t>
  </si>
  <si>
    <t>PROMOTER'S CONTRIBUTION</t>
  </si>
  <si>
    <t>TERM LOAN- CANARA  BANK</t>
  </si>
  <si>
    <t>WORKING CAPITAL - CANARA BANK</t>
  </si>
  <si>
    <t xml:space="preserve">                               TOTAL</t>
  </si>
  <si>
    <t>PROJECT PARAMETERS</t>
  </si>
  <si>
    <t>AMT/%</t>
  </si>
  <si>
    <t>PROMOTERS' CONTRIBUTION</t>
  </si>
  <si>
    <t>DEBT EQUITY(PROJECT)</t>
  </si>
  <si>
    <t xml:space="preserve">LAND (2.4 ACRES) </t>
  </si>
  <si>
    <t>BUILDING</t>
  </si>
  <si>
    <t>REPAYMENT</t>
  </si>
  <si>
    <t>CC LOAN</t>
  </si>
  <si>
    <t>MONTHLY INTEREST</t>
  </si>
  <si>
    <t>TERM LOAN</t>
  </si>
  <si>
    <t>2010- JAN</t>
  </si>
  <si>
    <t>RATE OF INTEREST</t>
  </si>
  <si>
    <t>TL</t>
  </si>
  <si>
    <t>CC</t>
  </si>
  <si>
    <t xml:space="preserve">                     TERM LOAN REPAYMENT SCHEDULE</t>
  </si>
  <si>
    <t xml:space="preserve">   </t>
  </si>
  <si>
    <t xml:space="preserve">                Rate of Interest</t>
  </si>
  <si>
    <t>Months</t>
  </si>
  <si>
    <t>Opening</t>
  </si>
  <si>
    <t>Principle</t>
  </si>
  <si>
    <t>Interest</t>
  </si>
  <si>
    <t>Installment</t>
  </si>
  <si>
    <t>Balance</t>
  </si>
  <si>
    <t>TOTAL</t>
  </si>
  <si>
    <t xml:space="preserve">2nd YEAR         </t>
  </si>
  <si>
    <t xml:space="preserve">3rd YEAR         </t>
  </si>
  <si>
    <t xml:space="preserve">4th YEAR         </t>
  </si>
  <si>
    <t xml:space="preserve">5th YEAR         </t>
  </si>
  <si>
    <t xml:space="preserve">6th YEAR         </t>
  </si>
  <si>
    <t xml:space="preserve">CALCULATION OF MAXIMUM PERMISSABLE BANK FINANCE </t>
  </si>
  <si>
    <t>2010-11</t>
  </si>
  <si>
    <t>2013-14</t>
  </si>
  <si>
    <t xml:space="preserve">Amount </t>
  </si>
  <si>
    <t>Current Assets :-</t>
  </si>
  <si>
    <t>Cash and bank balances</t>
  </si>
  <si>
    <t xml:space="preserve">Receivables </t>
  </si>
  <si>
    <t>Closing Stock</t>
  </si>
  <si>
    <t>1Total current Assets      1</t>
  </si>
  <si>
    <t>Working Capital Gap 3-- (1-2 )</t>
  </si>
  <si>
    <t>MPBF :- (3-4)</t>
  </si>
  <si>
    <r>
      <t xml:space="preserve">Current Liabilities :-  </t>
    </r>
    <r>
      <rPr>
        <b/>
        <sz val="10"/>
        <rFont val="Bookman Old Style"/>
        <family val="1"/>
      </rPr>
      <t>2</t>
    </r>
  </si>
  <si>
    <r>
      <t xml:space="preserve">25% of CA                       </t>
    </r>
    <r>
      <rPr>
        <b/>
        <sz val="10"/>
        <rFont val="Bookman Old Style"/>
        <family val="1"/>
      </rPr>
      <t>4</t>
    </r>
  </si>
  <si>
    <t>YEAR</t>
  </si>
  <si>
    <t xml:space="preserve">RATE </t>
  </si>
  <si>
    <t xml:space="preserve">DEPRECIATION </t>
  </si>
  <si>
    <t>CLOSING WDV</t>
  </si>
  <si>
    <t>Land</t>
  </si>
  <si>
    <t>PROJECTED PROFITABILITY STATEMENT</t>
  </si>
  <si>
    <t>INCOME</t>
  </si>
  <si>
    <t>1ST YEAR</t>
  </si>
  <si>
    <t>2nd YEAR</t>
  </si>
  <si>
    <t>3rd YEAR</t>
  </si>
  <si>
    <t>4th YEAR</t>
  </si>
  <si>
    <t>5th YEAR</t>
  </si>
  <si>
    <t>6th YEAR</t>
  </si>
  <si>
    <t>7th YEAR</t>
  </si>
  <si>
    <t>A</t>
  </si>
  <si>
    <t>2009-10</t>
  </si>
  <si>
    <t>2011-12</t>
  </si>
  <si>
    <t>2012-13</t>
  </si>
  <si>
    <t>2014-15</t>
  </si>
  <si>
    <t>2015-16</t>
  </si>
  <si>
    <t>Total of A</t>
  </si>
  <si>
    <t>B</t>
  </si>
  <si>
    <t>Valuation of closing stock</t>
  </si>
  <si>
    <t xml:space="preserve">Op.Stock </t>
  </si>
  <si>
    <t>Labour</t>
  </si>
  <si>
    <t>Power</t>
  </si>
  <si>
    <t>Hamali</t>
  </si>
  <si>
    <t>Qty</t>
  </si>
  <si>
    <t>Rate</t>
  </si>
  <si>
    <t>Opening Stock</t>
  </si>
  <si>
    <t>Add:Purchases</t>
  </si>
  <si>
    <t>Labour Charges</t>
  </si>
  <si>
    <t>Power Charges</t>
  </si>
  <si>
    <t xml:space="preserve">                                     COST OF THE PROJECT</t>
  </si>
  <si>
    <t>Less: Sales</t>
  </si>
  <si>
    <t>Ratio</t>
  </si>
  <si>
    <t>lint</t>
  </si>
  <si>
    <t>seeds</t>
  </si>
  <si>
    <t>Shortage</t>
  </si>
  <si>
    <t>Less :Closing Stock</t>
  </si>
  <si>
    <t>Consumption T\F to Lint</t>
  </si>
  <si>
    <t>Consumption T\F to Seeds</t>
  </si>
  <si>
    <t>Add :Direct Expenses</t>
  </si>
  <si>
    <t>Raw Materials Consumed</t>
  </si>
  <si>
    <t>Cost of Production</t>
  </si>
  <si>
    <t>Add: T/F from Kappas</t>
  </si>
  <si>
    <t xml:space="preserve">Seeds </t>
  </si>
  <si>
    <t>last sale bill</t>
  </si>
  <si>
    <t>stock rate</t>
  </si>
  <si>
    <t>stock valve</t>
  </si>
  <si>
    <t>cop/tot.sale</t>
  </si>
  <si>
    <t>Total Sale</t>
  </si>
  <si>
    <t>Sale Price Ratio 09-10</t>
  </si>
  <si>
    <t>sale price ratio 10-11</t>
  </si>
  <si>
    <t>sale price ratio 11-12</t>
  </si>
  <si>
    <t>sale price ratio 12-13</t>
  </si>
  <si>
    <t>sale price ratio 13-14</t>
  </si>
  <si>
    <t>Bajaj Auto Feeder</t>
  </si>
  <si>
    <t>OPENING WDV</t>
  </si>
  <si>
    <t>Electrick Motors</t>
  </si>
  <si>
    <t>Electrick Weigh Bridge</t>
  </si>
  <si>
    <t>Cotton Balling Press</t>
  </si>
  <si>
    <t>Kirloskar DG Sets 160 KVA</t>
  </si>
  <si>
    <t>Total of B</t>
  </si>
  <si>
    <t>Gross Profit ( A-B )</t>
  </si>
  <si>
    <t>Total of C</t>
  </si>
  <si>
    <t>Indirect  Expenditure</t>
  </si>
  <si>
    <t>Administrative Expenses</t>
  </si>
  <si>
    <t xml:space="preserve">Electricle &amp; Factory Maintenance  </t>
  </si>
  <si>
    <t xml:space="preserve">Machinery Maintenance </t>
  </si>
  <si>
    <t>Fees &amp; Reg Charges</t>
  </si>
  <si>
    <t>Transportation</t>
  </si>
  <si>
    <t>Diesel For DG</t>
  </si>
  <si>
    <t>Insurance</t>
  </si>
  <si>
    <t>Insurance for Staff</t>
  </si>
  <si>
    <t>Miscellaneous</t>
  </si>
  <si>
    <t>Postage</t>
  </si>
  <si>
    <t>Printing &amp; Stationery</t>
  </si>
  <si>
    <t>Professional Tax</t>
  </si>
  <si>
    <t>Audit &amp; Other Fee</t>
  </si>
  <si>
    <t xml:space="preserve">Salary </t>
  </si>
  <si>
    <t>Telephone Charges</t>
  </si>
  <si>
    <t>Interest on Term Loan</t>
  </si>
  <si>
    <t>Interest on CC loan</t>
  </si>
  <si>
    <t>Depreciation</t>
  </si>
  <si>
    <t xml:space="preserve">1st YEAR </t>
  </si>
  <si>
    <t xml:space="preserve">7th YEAR         </t>
  </si>
  <si>
    <t xml:space="preserve">8th YEAR         </t>
  </si>
  <si>
    <t>D</t>
  </si>
  <si>
    <t>Total of D</t>
  </si>
  <si>
    <t>DSCR CALCULATION</t>
  </si>
  <si>
    <t>Profit After Tax</t>
  </si>
  <si>
    <t>Add: Depreciation</t>
  </si>
  <si>
    <t xml:space="preserve">                 Funds from Operations</t>
  </si>
  <si>
    <t>Repayment of TermLoan</t>
  </si>
  <si>
    <t>Interest on Term Loans</t>
  </si>
  <si>
    <t xml:space="preserve">                     Total Debt obligation</t>
  </si>
  <si>
    <t>Yearwise DSCR (in times)</t>
  </si>
  <si>
    <t>AVERAGE DSCR :-</t>
  </si>
  <si>
    <t>sale price ratio 15-16</t>
  </si>
  <si>
    <t>sale price ratio 14-15</t>
  </si>
  <si>
    <t>Profit &amp; Loss Appropriation A/c</t>
  </si>
  <si>
    <t>Profit as per P&amp;L</t>
  </si>
  <si>
    <t>Less: Partners Remuneration</t>
  </si>
  <si>
    <t>Profit after Remuneration</t>
  </si>
  <si>
    <t>Calculation of Partners Remuneration</t>
  </si>
  <si>
    <t>Total Remuneration</t>
  </si>
  <si>
    <t>Each Partner Share</t>
  </si>
  <si>
    <t>Partners Capital Account (combined)</t>
  </si>
  <si>
    <t xml:space="preserve">Opening Balance </t>
  </si>
  <si>
    <t>Add: Net Profit</t>
  </si>
  <si>
    <t>Remuneration</t>
  </si>
  <si>
    <t>Cash Introduced</t>
  </si>
  <si>
    <t xml:space="preserve">By Agri Income </t>
  </si>
  <si>
    <t>Less Drawings</t>
  </si>
  <si>
    <t>Less LIC</t>
  </si>
  <si>
    <t>Balance C/F</t>
  </si>
  <si>
    <t>Liabilities</t>
  </si>
  <si>
    <t>Capital</t>
  </si>
  <si>
    <t>Bank Loan CC</t>
  </si>
  <si>
    <t>Sundry Creditors</t>
  </si>
  <si>
    <t>Other Liabilities</t>
  </si>
  <si>
    <t>Assets</t>
  </si>
  <si>
    <t>Fixed Assets</t>
  </si>
  <si>
    <t xml:space="preserve">Investments </t>
  </si>
  <si>
    <t>Current Assets</t>
  </si>
  <si>
    <t>Cash in Hand</t>
  </si>
  <si>
    <t>Cash at Bank</t>
  </si>
  <si>
    <t>Sundry Debtors</t>
  </si>
  <si>
    <t>Other Current Assets</t>
  </si>
  <si>
    <t>Income Tax Advance</t>
  </si>
  <si>
    <t>Deposits</t>
  </si>
  <si>
    <t>Loans &amp; Advances</t>
  </si>
  <si>
    <t>Bank Loan TL</t>
  </si>
  <si>
    <t xml:space="preserve">Kappas </t>
  </si>
  <si>
    <t>Diiff</t>
  </si>
  <si>
    <t>Equipments</t>
  </si>
  <si>
    <t>Ginning Kanwar</t>
  </si>
  <si>
    <t>Net Profit (C-D) Before Tax</t>
  </si>
  <si>
    <t>Provision For Income Tax</t>
  </si>
  <si>
    <t>Profit after Tax</t>
  </si>
  <si>
    <t>Installed Capacity (Qtls)</t>
  </si>
  <si>
    <t>Production per year (Qtls)</t>
  </si>
  <si>
    <t>Operating Capacity (Percentage)</t>
  </si>
  <si>
    <t>DEPRECIATION SCHEDULE</t>
  </si>
  <si>
    <t>Projected Balance Sheet</t>
  </si>
  <si>
    <t xml:space="preserve"> COTTON GINNING FACTORY</t>
  </si>
  <si>
    <t>Cotton Ginning Factory</t>
  </si>
  <si>
    <t xml:space="preserve"> Cotton Ginning Factory</t>
  </si>
  <si>
    <t xml:space="preserve">  Cotton Ginning Factory</t>
  </si>
  <si>
    <t>COTTON GINNING FACTORY</t>
  </si>
  <si>
    <t>www.cottonyarnmarket.net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</si>
</sst>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;[Red]#,##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?_);_(@_)"/>
    <numFmt numFmtId="176" formatCode="_(* #,##0.0_);_(* \(#,##0.0\);_(* &quot;-&quot;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_);_(* \(#,##0.0000\);_(* &quot;-&quot;????_);_(@_)"/>
    <numFmt numFmtId="186" formatCode="0.000%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1"/>
      <name val="Bookman Old Style"/>
      <family val="1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name val="Arial"/>
      <family val="0"/>
    </font>
    <font>
      <b/>
      <u val="single"/>
      <sz val="12"/>
      <name val="Bookman Old Style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43" fontId="7" fillId="0" borderId="6" xfId="15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43" fontId="6" fillId="0" borderId="9" xfId="15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2" fontId="6" fillId="0" borderId="9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7" fillId="0" borderId="8" xfId="0" applyFont="1" applyBorder="1" applyAlignment="1">
      <alignment/>
    </xf>
    <xf numFmtId="2" fontId="7" fillId="0" borderId="9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7" fontId="10" fillId="0" borderId="17" xfId="0" applyNumberFormat="1" applyFont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43" fontId="5" fillId="0" borderId="1" xfId="15" applyFont="1" applyBorder="1" applyAlignment="1">
      <alignment horizontal="right"/>
    </xf>
    <xf numFmtId="43" fontId="5" fillId="0" borderId="1" xfId="15" applyFont="1" applyBorder="1" applyAlignment="1" quotePrefix="1">
      <alignment horizontal="right"/>
    </xf>
    <xf numFmtId="43" fontId="10" fillId="0" borderId="1" xfId="15" applyFont="1" applyBorder="1" applyAlignment="1">
      <alignment horizontal="right"/>
    </xf>
    <xf numFmtId="43" fontId="5" fillId="0" borderId="22" xfId="15" applyFont="1" applyBorder="1" applyAlignment="1">
      <alignment horizontal="right"/>
    </xf>
    <xf numFmtId="43" fontId="10" fillId="0" borderId="0" xfId="15" applyFont="1" applyBorder="1" applyAlignment="1">
      <alignment horizontal="right"/>
    </xf>
    <xf numFmtId="43" fontId="5" fillId="0" borderId="0" xfId="15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5" xfId="0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0" fontId="13" fillId="0" borderId="5" xfId="0" applyFont="1" applyBorder="1" applyAlignment="1">
      <alignment horizontal="center"/>
    </xf>
    <xf numFmtId="1" fontId="6" fillId="0" borderId="6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2" fontId="7" fillId="0" borderId="24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3" fontId="7" fillId="0" borderId="1" xfId="15" applyNumberFormat="1" applyFont="1" applyBorder="1" applyAlignment="1">
      <alignment/>
    </xf>
    <xf numFmtId="0" fontId="0" fillId="0" borderId="0" xfId="0" applyBorder="1" applyAlignment="1">
      <alignment/>
    </xf>
    <xf numFmtId="173" fontId="5" fillId="0" borderId="1" xfId="15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173" fontId="7" fillId="0" borderId="0" xfId="15" applyNumberFormat="1" applyFont="1" applyAlignment="1">
      <alignment/>
    </xf>
    <xf numFmtId="1" fontId="15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16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29" xfId="0" applyFont="1" applyBorder="1" applyAlignment="1">
      <alignment/>
    </xf>
    <xf numFmtId="9" fontId="9" fillId="0" borderId="17" xfId="21" applyFont="1" applyBorder="1" applyAlignment="1">
      <alignment/>
    </xf>
    <xf numFmtId="10" fontId="9" fillId="0" borderId="17" xfId="21" applyNumberFormat="1" applyFont="1" applyBorder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7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0" fontId="0" fillId="0" borderId="0" xfId="0" applyAlignment="1">
      <alignment horizontal="left" indent="1"/>
    </xf>
    <xf numFmtId="43" fontId="0" fillId="0" borderId="0" xfId="15" applyAlignment="1">
      <alignment horizontal="left" indent="1"/>
    </xf>
    <xf numFmtId="173" fontId="0" fillId="0" borderId="0" xfId="15" applyNumberFormat="1" applyBorder="1" applyAlignment="1">
      <alignment horizontal="left" indent="1"/>
    </xf>
    <xf numFmtId="1" fontId="0" fillId="0" borderId="30" xfId="0" applyNumberFormat="1" applyBorder="1" applyAlignment="1">
      <alignment/>
    </xf>
    <xf numFmtId="1" fontId="0" fillId="0" borderId="0" xfId="15" applyNumberFormat="1" applyAlignment="1">
      <alignment/>
    </xf>
    <xf numFmtId="1" fontId="2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2" fillId="0" borderId="3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1" fontId="0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31" xfId="0" applyNumberFormat="1" applyFont="1" applyBorder="1" applyAlignment="1">
      <alignment horizontal="center"/>
    </xf>
    <xf numFmtId="43" fontId="5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73" fontId="5" fillId="0" borderId="1" xfId="15" applyNumberFormat="1" applyFont="1" applyBorder="1" applyAlignment="1">
      <alignment wrapText="1"/>
    </xf>
    <xf numFmtId="0" fontId="10" fillId="0" borderId="5" xfId="0" applyFont="1" applyBorder="1" applyAlignment="1">
      <alignment wrapText="1"/>
    </xf>
    <xf numFmtId="173" fontId="10" fillId="0" borderId="1" xfId="15" applyNumberFormat="1" applyFont="1" applyBorder="1" applyAlignment="1">
      <alignment wrapText="1"/>
    </xf>
    <xf numFmtId="173" fontId="5" fillId="0" borderId="1" xfId="15" applyNumberFormat="1" applyFont="1" applyBorder="1" applyAlignment="1">
      <alignment horizontal="center" wrapText="1"/>
    </xf>
    <xf numFmtId="0" fontId="5" fillId="0" borderId="32" xfId="0" applyFont="1" applyBorder="1" applyAlignment="1">
      <alignment wrapText="1"/>
    </xf>
    <xf numFmtId="2" fontId="10" fillId="0" borderId="33" xfId="0" applyNumberFormat="1" applyFont="1" applyBorder="1" applyAlignment="1">
      <alignment wrapText="1"/>
    </xf>
    <xf numFmtId="0" fontId="10" fillId="0" borderId="34" xfId="0" applyFont="1" applyBorder="1" applyAlignment="1">
      <alignment wrapText="1"/>
    </xf>
    <xf numFmtId="173" fontId="0" fillId="0" borderId="0" xfId="0" applyNumberFormat="1" applyAlignment="1">
      <alignment/>
    </xf>
    <xf numFmtId="173" fontId="0" fillId="0" borderId="0" xfId="15" applyNumberFormat="1" applyAlignment="1">
      <alignment/>
    </xf>
    <xf numFmtId="0" fontId="2" fillId="0" borderId="30" xfId="0" applyFont="1" applyBorder="1" applyAlignment="1">
      <alignment horizontal="right"/>
    </xf>
    <xf numFmtId="173" fontId="0" fillId="0" borderId="30" xfId="15" applyNumberFormat="1" applyBorder="1" applyAlignment="1">
      <alignment/>
    </xf>
    <xf numFmtId="173" fontId="0" fillId="0" borderId="3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10" fillId="0" borderId="35" xfId="0" applyFont="1" applyBorder="1" applyAlignment="1">
      <alignment horizontal="right" wrapText="1"/>
    </xf>
    <xf numFmtId="0" fontId="10" fillId="0" borderId="1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10" fillId="0" borderId="37" xfId="0" applyFont="1" applyBorder="1" applyAlignment="1">
      <alignment horizontal="right"/>
    </xf>
    <xf numFmtId="43" fontId="10" fillId="0" borderId="37" xfId="15" applyFont="1" applyBorder="1" applyAlignment="1">
      <alignment horizontal="right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3" fontId="10" fillId="0" borderId="40" xfId="15" applyFont="1" applyBorder="1" applyAlignment="1">
      <alignment horizontal="right"/>
    </xf>
    <xf numFmtId="43" fontId="5" fillId="0" borderId="41" xfId="15" applyFont="1" applyBorder="1" applyAlignment="1">
      <alignment horizontal="right"/>
    </xf>
    <xf numFmtId="43" fontId="5" fillId="0" borderId="38" xfId="15" applyFont="1" applyBorder="1" applyAlignment="1">
      <alignment horizontal="right"/>
    </xf>
    <xf numFmtId="0" fontId="5" fillId="0" borderId="37" xfId="0" applyFont="1" applyBorder="1" applyAlignment="1">
      <alignment/>
    </xf>
    <xf numFmtId="43" fontId="5" fillId="0" borderId="37" xfId="15" applyFont="1" applyBorder="1" applyAlignment="1">
      <alignment horizontal="right"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73" fontId="5" fillId="0" borderId="31" xfId="15" applyNumberFormat="1" applyFont="1" applyBorder="1" applyAlignment="1">
      <alignment wrapText="1"/>
    </xf>
    <xf numFmtId="173" fontId="5" fillId="0" borderId="42" xfId="15" applyNumberFormat="1" applyFont="1" applyBorder="1" applyAlignment="1">
      <alignment wrapText="1"/>
    </xf>
    <xf numFmtId="173" fontId="10" fillId="0" borderId="39" xfId="15" applyNumberFormat="1" applyFont="1" applyBorder="1" applyAlignment="1">
      <alignment wrapText="1"/>
    </xf>
    <xf numFmtId="173" fontId="10" fillId="0" borderId="31" xfId="15" applyNumberFormat="1" applyFont="1" applyBorder="1" applyAlignment="1">
      <alignment wrapText="1"/>
    </xf>
    <xf numFmtId="2" fontId="10" fillId="0" borderId="42" xfId="0" applyNumberFormat="1" applyFont="1" applyBorder="1" applyAlignment="1">
      <alignment wrapText="1"/>
    </xf>
    <xf numFmtId="0" fontId="10" fillId="0" borderId="43" xfId="0" applyFont="1" applyBorder="1" applyAlignment="1">
      <alignment horizontal="center" wrapText="1"/>
    </xf>
    <xf numFmtId="173" fontId="5" fillId="0" borderId="44" xfId="15" applyNumberFormat="1" applyFont="1" applyBorder="1" applyAlignment="1">
      <alignment wrapText="1"/>
    </xf>
    <xf numFmtId="173" fontId="5" fillId="0" borderId="45" xfId="15" applyNumberFormat="1" applyFont="1" applyBorder="1" applyAlignment="1">
      <alignment wrapText="1"/>
    </xf>
    <xf numFmtId="173" fontId="5" fillId="0" borderId="46" xfId="15" applyNumberFormat="1" applyFont="1" applyBorder="1" applyAlignment="1">
      <alignment wrapText="1"/>
    </xf>
    <xf numFmtId="173" fontId="10" fillId="0" borderId="47" xfId="15" applyNumberFormat="1" applyFont="1" applyBorder="1" applyAlignment="1">
      <alignment wrapText="1"/>
    </xf>
    <xf numFmtId="173" fontId="10" fillId="0" borderId="45" xfId="15" applyNumberFormat="1" applyFont="1" applyBorder="1" applyAlignment="1">
      <alignment wrapText="1"/>
    </xf>
    <xf numFmtId="2" fontId="10" fillId="0" borderId="48" xfId="0" applyNumberFormat="1" applyFont="1" applyBorder="1" applyAlignment="1">
      <alignment wrapText="1"/>
    </xf>
    <xf numFmtId="0" fontId="0" fillId="0" borderId="49" xfId="0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/>
    </xf>
    <xf numFmtId="0" fontId="2" fillId="0" borderId="0" xfId="0" applyFont="1" applyAlignment="1">
      <alignment horizontal="center"/>
    </xf>
    <xf numFmtId="0" fontId="4" fillId="0" borderId="0" xfId="2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1" xfId="0" applyFont="1" applyBorder="1" applyAlignment="1">
      <alignment horizontal="center" vertical="distributed" wrapText="1"/>
    </xf>
    <xf numFmtId="0" fontId="6" fillId="0" borderId="21" xfId="0" applyFont="1" applyBorder="1" applyAlignment="1">
      <alignment horizontal="center" vertical="distributed" wrapText="1"/>
    </xf>
    <xf numFmtId="0" fontId="6" fillId="0" borderId="22" xfId="0" applyFont="1" applyBorder="1" applyAlignment="1">
      <alignment horizontal="center" vertical="distributed" wrapText="1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distributed" wrapText="1"/>
    </xf>
    <xf numFmtId="2" fontId="10" fillId="0" borderId="32" xfId="0" applyNumberFormat="1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tonyarnmarket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tonyarnmarket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tonyarnmarket.ne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tonyarnmarket.net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tonyarnmarket.net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tonyarnmarket.net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tonyarnmarket.net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tonyarnmarket.net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tonyarnmarket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A31">
      <selection activeCell="C38" sqref="C38"/>
    </sheetView>
  </sheetViews>
  <sheetFormatPr defaultColWidth="9.140625" defaultRowHeight="12.75"/>
  <cols>
    <col min="1" max="1" width="6.8515625" style="3" customWidth="1"/>
    <col min="2" max="2" width="8.28125" style="3" customWidth="1"/>
    <col min="3" max="3" width="50.7109375" style="3" customWidth="1"/>
    <col min="4" max="4" width="21.00390625" style="3" bestFit="1" customWidth="1"/>
    <col min="5" max="5" width="14.57421875" style="3" customWidth="1"/>
    <col min="6" max="6" width="9.7109375" style="3" customWidth="1"/>
    <col min="7" max="8" width="9.57421875" style="3" customWidth="1"/>
    <col min="9" max="16384" width="9.140625" style="3" customWidth="1"/>
  </cols>
  <sheetData>
    <row r="1" spans="2:4" ht="21" customHeight="1">
      <c r="B1" s="183" t="s">
        <v>223</v>
      </c>
      <c r="C1" s="183"/>
      <c r="D1" s="183"/>
    </row>
    <row r="2" spans="1:7" ht="36.75" customHeight="1">
      <c r="A2" s="5"/>
      <c r="B2" s="184"/>
      <c r="C2" s="185"/>
      <c r="D2" s="186"/>
      <c r="E2" s="6"/>
      <c r="F2" s="7"/>
      <c r="G2" s="7"/>
    </row>
    <row r="3" spans="1:5" ht="16.5" customHeight="1" thickBot="1">
      <c r="A3" s="5"/>
      <c r="B3" s="187" t="s">
        <v>23</v>
      </c>
      <c r="C3" s="187"/>
      <c r="D3" s="187"/>
      <c r="E3" s="5"/>
    </row>
    <row r="4" spans="1:5" ht="26.25" customHeight="1">
      <c r="A4" s="5"/>
      <c r="B4" s="188" t="s">
        <v>110</v>
      </c>
      <c r="C4" s="189"/>
      <c r="D4" s="190"/>
      <c r="E4" s="5"/>
    </row>
    <row r="5" spans="1:5" ht="34.5" customHeight="1">
      <c r="A5" s="5"/>
      <c r="B5" s="8" t="s">
        <v>24</v>
      </c>
      <c r="C5" s="9" t="s">
        <v>25</v>
      </c>
      <c r="D5" s="10" t="s">
        <v>26</v>
      </c>
      <c r="E5" s="5"/>
    </row>
    <row r="6" spans="1:5" ht="34.5" customHeight="1">
      <c r="A6" s="5"/>
      <c r="B6" s="11">
        <v>1</v>
      </c>
      <c r="C6" s="12" t="s">
        <v>39</v>
      </c>
      <c r="D6" s="13">
        <v>6</v>
      </c>
      <c r="E6" s="5"/>
    </row>
    <row r="7" spans="1:5" ht="34.5" customHeight="1">
      <c r="A7" s="5"/>
      <c r="B7" s="11">
        <v>2</v>
      </c>
      <c r="C7" s="12" t="s">
        <v>27</v>
      </c>
      <c r="D7" s="13">
        <v>86</v>
      </c>
      <c r="E7" s="5"/>
    </row>
    <row r="8" spans="1:5" ht="34.5" customHeight="1">
      <c r="A8" s="5"/>
      <c r="B8" s="11">
        <v>3</v>
      </c>
      <c r="C8" s="12" t="s">
        <v>28</v>
      </c>
      <c r="D8" s="13">
        <v>4</v>
      </c>
      <c r="E8" s="5"/>
    </row>
    <row r="9" spans="1:5" ht="34.5" customHeight="1">
      <c r="A9" s="5"/>
      <c r="B9" s="11">
        <v>4</v>
      </c>
      <c r="C9" s="12" t="s">
        <v>40</v>
      </c>
      <c r="D9" s="13">
        <v>110</v>
      </c>
      <c r="E9" s="5"/>
    </row>
    <row r="10" spans="1:5" ht="34.5" customHeight="1">
      <c r="A10" s="5"/>
      <c r="B10" s="11"/>
      <c r="C10" s="12"/>
      <c r="D10" s="13"/>
      <c r="E10" s="5"/>
    </row>
    <row r="11" spans="1:5" ht="34.5" customHeight="1" thickBot="1">
      <c r="A11" s="5"/>
      <c r="B11" s="14"/>
      <c r="C11" s="15" t="s">
        <v>29</v>
      </c>
      <c r="D11" s="16">
        <f>SUM(D6:D10)</f>
        <v>206</v>
      </c>
      <c r="E11" s="5"/>
    </row>
    <row r="12" spans="1:5" ht="33.75" customHeight="1" thickBot="1">
      <c r="A12" s="5"/>
      <c r="B12" s="17" t="s">
        <v>30</v>
      </c>
      <c r="C12" s="5"/>
      <c r="D12" s="5"/>
      <c r="E12" s="5"/>
    </row>
    <row r="13" spans="1:5" ht="25.5" customHeight="1">
      <c r="A13" s="5"/>
      <c r="B13" s="18" t="s">
        <v>24</v>
      </c>
      <c r="C13" s="19" t="s">
        <v>25</v>
      </c>
      <c r="D13" s="20" t="s">
        <v>26</v>
      </c>
      <c r="E13" s="5"/>
    </row>
    <row r="14" spans="1:5" ht="24" customHeight="1">
      <c r="A14" s="5"/>
      <c r="B14" s="11">
        <v>1</v>
      </c>
      <c r="C14" s="12" t="s">
        <v>31</v>
      </c>
      <c r="D14" s="13">
        <v>56</v>
      </c>
      <c r="E14" s="5"/>
    </row>
    <row r="15" spans="1:5" ht="24" customHeight="1">
      <c r="A15" s="5"/>
      <c r="B15" s="11">
        <v>2</v>
      </c>
      <c r="C15" s="12" t="s">
        <v>32</v>
      </c>
      <c r="D15" s="13">
        <v>100</v>
      </c>
      <c r="E15" s="5"/>
    </row>
    <row r="16" spans="1:5" ht="24.75" customHeight="1">
      <c r="A16" s="5"/>
      <c r="B16" s="11">
        <v>3</v>
      </c>
      <c r="C16" s="12" t="s">
        <v>33</v>
      </c>
      <c r="D16" s="13">
        <v>50</v>
      </c>
      <c r="E16" s="5"/>
    </row>
    <row r="17" spans="1:5" ht="21" customHeight="1">
      <c r="A17" s="5"/>
      <c r="B17" s="73"/>
      <c r="C17" s="58"/>
      <c r="D17" s="107"/>
      <c r="E17" s="5"/>
    </row>
    <row r="18" spans="1:5" ht="27" customHeight="1" thickBot="1">
      <c r="A18" s="5"/>
      <c r="B18" s="14"/>
      <c r="C18" s="15" t="s">
        <v>34</v>
      </c>
      <c r="D18" s="21">
        <f>SUM(D14:D16)</f>
        <v>206</v>
      </c>
      <c r="E18" s="22">
        <f>D18-D11</f>
        <v>0</v>
      </c>
    </row>
    <row r="19" spans="1:5" ht="27" customHeight="1">
      <c r="A19" s="5"/>
      <c r="B19" s="23"/>
      <c r="C19" s="24"/>
      <c r="D19" s="25"/>
      <c r="E19" s="22"/>
    </row>
    <row r="20" spans="1:5" ht="27" customHeight="1" thickBot="1">
      <c r="A20" s="5"/>
      <c r="B20" s="23"/>
      <c r="C20" s="24"/>
      <c r="D20" s="25"/>
      <c r="E20" s="5"/>
    </row>
    <row r="21" spans="1:5" ht="30.75" customHeight="1">
      <c r="A21" s="5"/>
      <c r="B21" s="180" t="s">
        <v>35</v>
      </c>
      <c r="C21" s="181"/>
      <c r="D21" s="182"/>
      <c r="E21" s="5"/>
    </row>
    <row r="22" spans="1:5" ht="21.75" customHeight="1">
      <c r="A22" s="5"/>
      <c r="B22" s="8" t="s">
        <v>24</v>
      </c>
      <c r="C22" s="9" t="s">
        <v>25</v>
      </c>
      <c r="D22" s="10" t="s">
        <v>36</v>
      </c>
      <c r="E22" s="5"/>
    </row>
    <row r="23" spans="1:5" ht="21.75" customHeight="1">
      <c r="A23" s="5"/>
      <c r="B23" s="11">
        <v>1</v>
      </c>
      <c r="C23" s="12" t="s">
        <v>37</v>
      </c>
      <c r="D23" s="26">
        <v>0.27</v>
      </c>
      <c r="E23" s="5"/>
    </row>
    <row r="24" spans="1:5" ht="22.5" customHeight="1" thickBot="1">
      <c r="A24" s="5"/>
      <c r="B24" s="14">
        <v>2</v>
      </c>
      <c r="C24" s="27" t="s">
        <v>38</v>
      </c>
      <c r="D24" s="28">
        <f>(D15+D16)/D18</f>
        <v>0.7281553398058253</v>
      </c>
      <c r="E24" s="5"/>
    </row>
    <row r="25" spans="1:5" ht="16.5" thickBot="1">
      <c r="A25" s="5"/>
      <c r="B25" s="5"/>
      <c r="C25" s="5"/>
      <c r="D25" s="5"/>
      <c r="E25" s="5"/>
    </row>
    <row r="26" spans="1:5" ht="15.75">
      <c r="A26" s="5"/>
      <c r="B26" s="35"/>
      <c r="C26" s="36"/>
      <c r="D26" s="37"/>
      <c r="E26" s="5"/>
    </row>
    <row r="27" spans="1:5" ht="15.75">
      <c r="A27" s="5"/>
      <c r="B27" s="38"/>
      <c r="C27" s="24" t="s">
        <v>41</v>
      </c>
      <c r="D27" s="39"/>
      <c r="E27" s="5"/>
    </row>
    <row r="28" spans="2:4" ht="16.5">
      <c r="B28" s="40"/>
      <c r="C28" s="31" t="s">
        <v>42</v>
      </c>
      <c r="D28" s="41" t="s">
        <v>43</v>
      </c>
    </row>
    <row r="29" spans="2:4" ht="15">
      <c r="B29" s="42"/>
      <c r="C29" s="31" t="s">
        <v>44</v>
      </c>
      <c r="D29" s="48" t="s">
        <v>45</v>
      </c>
    </row>
    <row r="30" spans="2:13" ht="15.75">
      <c r="B30" s="38"/>
      <c r="C30" s="31"/>
      <c r="D30" s="43"/>
      <c r="E30" s="30"/>
      <c r="F30" s="30"/>
      <c r="G30" s="30"/>
      <c r="H30" s="30"/>
      <c r="I30" s="30"/>
      <c r="J30" s="30"/>
      <c r="K30" s="30"/>
      <c r="L30" s="30"/>
      <c r="M30" s="30"/>
    </row>
    <row r="31" spans="2:18" ht="16.5">
      <c r="B31" s="42"/>
      <c r="C31" s="34" t="s">
        <v>46</v>
      </c>
      <c r="D31" s="4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2:18" ht="16.5">
      <c r="B32" s="42"/>
      <c r="C32" s="32" t="s">
        <v>47</v>
      </c>
      <c r="D32" s="108">
        <v>0.14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2:18" ht="16.5">
      <c r="B33" s="42"/>
      <c r="C33" s="32" t="s">
        <v>48</v>
      </c>
      <c r="D33" s="109">
        <v>0.1325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2:18" ht="16.5">
      <c r="B34" s="42"/>
      <c r="C34" s="32"/>
      <c r="D34" s="4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ht="17.25" thickBot="1">
      <c r="B35" s="45"/>
      <c r="C35" s="46"/>
      <c r="D35" s="47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3:18" ht="16.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3:18" ht="16.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3:18" ht="16.5">
      <c r="C38" s="179" t="s">
        <v>228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3:18" ht="16.5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2:18" ht="16.5">
      <c r="B40" s="29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ht="16.5">
      <c r="B41" s="29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2:18" ht="16.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2:18" ht="16.5">
      <c r="B43" s="34"/>
      <c r="C43" s="34"/>
      <c r="D43" s="3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2:18" ht="16.5">
      <c r="B44" s="34"/>
      <c r="C44" s="34"/>
      <c r="D44" s="3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8" ht="16.5">
      <c r="B45" s="32"/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8" ht="16.5">
      <c r="B46" s="32"/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8" ht="16.5">
      <c r="B47" s="32"/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ht="16.5">
      <c r="B48" s="32"/>
      <c r="C48" s="32"/>
      <c r="D48" s="3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3:18" ht="16.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3:18" ht="16.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3:18" ht="16.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2:18" ht="16.5">
      <c r="B52" s="2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2:18" ht="16.5">
      <c r="B53" s="29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2:18" ht="16.5">
      <c r="B54" s="2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2:18" ht="16.5">
      <c r="B55" s="34"/>
      <c r="C55" s="34"/>
      <c r="D55" s="34"/>
      <c r="E55" s="34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ht="16.5">
      <c r="B56" s="32"/>
      <c r="C56" s="32"/>
      <c r="D56" s="32"/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2:18" ht="16.5">
      <c r="B57" s="32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2:18" ht="16.5">
      <c r="B58" s="32"/>
      <c r="C58" s="32"/>
      <c r="D58" s="32"/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2:18" ht="16.5">
      <c r="B59" s="32"/>
      <c r="C59" s="32"/>
      <c r="D59" s="32"/>
      <c r="E59" s="3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2:18" ht="16.5">
      <c r="B60" s="32"/>
      <c r="C60" s="32"/>
      <c r="D60" s="32"/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2:18" ht="16.5">
      <c r="B61" s="32"/>
      <c r="C61" s="32"/>
      <c r="D61" s="32"/>
      <c r="E61" s="3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ht="16.5">
      <c r="B62" s="32"/>
      <c r="C62" s="32"/>
      <c r="D62" s="32"/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2:18" ht="16.5">
      <c r="B63" s="32"/>
      <c r="C63" s="32"/>
      <c r="D63" s="32"/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2:18" ht="16.5">
      <c r="B64" s="32"/>
      <c r="C64" s="32"/>
      <c r="D64" s="32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ht="16.5">
      <c r="B65" s="32"/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2:18" ht="16.5">
      <c r="B66" s="32"/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8" ht="16.5">
      <c r="B67" s="32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2:18" ht="16.5">
      <c r="B68" s="32"/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2:18" ht="16.5">
      <c r="B69" s="32"/>
      <c r="C69" s="32"/>
      <c r="D69" s="32"/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8" ht="16.5">
      <c r="B70" s="32"/>
      <c r="C70" s="3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2:18" ht="16.5">
      <c r="B71" s="32"/>
      <c r="C71" s="34"/>
      <c r="D71" s="34"/>
      <c r="E71" s="32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2:18" ht="16.5">
      <c r="B72" s="31"/>
      <c r="C72" s="32"/>
      <c r="D72" s="32"/>
      <c r="E72" s="32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3:18" ht="16.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3:18" ht="16.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3:18" ht="16.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3:18" ht="16.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3:18" ht="16.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3:18" ht="16.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3:18" ht="16.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3:18" ht="16.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3:18" ht="16.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3:18" ht="16.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3:18" ht="16.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3:18" ht="16.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3:18" ht="16.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3:18" ht="16.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3:18" ht="16.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3:18" ht="16.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3:18" ht="16.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3:18" ht="16.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3:18" ht="16.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3:18" ht="16.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3:18" ht="16.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3:18" ht="16.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3:18" ht="16.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3:18" ht="16.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3:18" ht="16.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3:18" ht="16.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3:18" ht="16.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3:18" ht="16.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3:18" ht="16.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3:18" ht="16.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3:18" ht="16.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3:18" ht="16.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3:18" ht="16.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3:18" ht="16.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3:18" ht="16.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3:18" ht="16.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3:18" ht="16.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3:18" ht="16.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3:18" ht="16.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3:18" ht="16.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3:18" ht="16.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3:18" ht="16.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3:18" ht="16.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3:18" ht="16.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3:18" ht="16.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3:18" ht="16.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3:18" ht="16.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3:18" ht="16.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3:18" ht="16.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3:18" ht="16.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3:18" ht="16.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3:18" ht="16.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3:18" ht="16.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3:18" ht="16.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3:18" ht="16.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3:18" ht="16.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3:18" ht="16.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3:18" ht="16.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3:18" ht="16.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3:18" ht="16.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3:18" ht="16.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3:18" ht="16.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3:18" ht="16.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3:18" ht="16.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3:18" ht="16.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3:18" ht="16.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3:18" ht="16.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3:18" ht="16.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3:18" ht="16.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3:18" ht="16.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3:18" ht="16.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3:18" ht="16.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3:18" ht="16.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3:18" ht="16.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</sheetData>
  <mergeCells count="5">
    <mergeCell ref="B21:D21"/>
    <mergeCell ref="B1:D1"/>
    <mergeCell ref="B2:D2"/>
    <mergeCell ref="B3:D3"/>
    <mergeCell ref="B4:D4"/>
  </mergeCells>
  <hyperlinks>
    <hyperlink ref="C38" r:id="rId1" display="www.cottonyarnmarket.net"/>
  </hyperlinks>
  <printOptions/>
  <pageMargins left="1.32" right="0.75" top="0.71" bottom="0.64" header="0.5" footer="0.5"/>
  <pageSetup horizontalDpi="300" verticalDpi="300" orientation="portrait" scale="96" r:id="rId2"/>
  <rowBreaks count="1" manualBreakCount="1">
    <brk id="24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09">
      <selection activeCell="A126" sqref="A126"/>
    </sheetView>
  </sheetViews>
  <sheetFormatPr defaultColWidth="9.140625" defaultRowHeight="12.75"/>
  <cols>
    <col min="1" max="1" width="32.421875" style="1" bestFit="1" customWidth="1"/>
    <col min="2" max="2" width="10.00390625" style="1" bestFit="1" customWidth="1"/>
    <col min="3" max="3" width="9.7109375" style="1" bestFit="1" customWidth="1"/>
    <col min="4" max="8" width="10.00390625" style="1" bestFit="1" customWidth="1"/>
    <col min="9" max="16384" width="9.140625" style="1" customWidth="1"/>
  </cols>
  <sheetData>
    <row r="1" spans="1:8" ht="12.75">
      <c r="A1" s="191" t="s">
        <v>224</v>
      </c>
      <c r="B1" s="191"/>
      <c r="C1" s="191"/>
      <c r="D1" s="191"/>
      <c r="E1" s="191"/>
      <c r="F1" s="191"/>
      <c r="G1" s="191"/>
      <c r="H1" s="191"/>
    </row>
    <row r="2" spans="1:8" ht="12.75">
      <c r="A2" s="191" t="s">
        <v>82</v>
      </c>
      <c r="B2" s="191"/>
      <c r="C2" s="191"/>
      <c r="D2" s="191"/>
      <c r="E2" s="191"/>
      <c r="F2" s="191"/>
      <c r="G2" s="191"/>
      <c r="H2" s="191"/>
    </row>
    <row r="3" spans="1:8" ht="12.75">
      <c r="A3" s="121" t="s">
        <v>3</v>
      </c>
      <c r="B3" s="146" t="s">
        <v>84</v>
      </c>
      <c r="C3" s="146" t="s">
        <v>85</v>
      </c>
      <c r="D3" s="146" t="s">
        <v>86</v>
      </c>
      <c r="E3" s="146" t="s">
        <v>87</v>
      </c>
      <c r="F3" s="146" t="s">
        <v>88</v>
      </c>
      <c r="G3" s="146" t="s">
        <v>89</v>
      </c>
      <c r="H3" s="146" t="s">
        <v>90</v>
      </c>
    </row>
    <row r="4" spans="1:8" ht="12.75">
      <c r="A4" s="121"/>
      <c r="B4" s="146" t="s">
        <v>92</v>
      </c>
      <c r="C4" s="146" t="s">
        <v>65</v>
      </c>
      <c r="D4" s="146" t="s">
        <v>93</v>
      </c>
      <c r="E4" s="146" t="s">
        <v>94</v>
      </c>
      <c r="F4" s="146" t="s">
        <v>66</v>
      </c>
      <c r="G4" s="146" t="s">
        <v>95</v>
      </c>
      <c r="H4" s="146" t="s">
        <v>96</v>
      </c>
    </row>
    <row r="6" spans="1:8" ht="12.75">
      <c r="A6" s="1" t="s">
        <v>218</v>
      </c>
      <c r="B6" s="1">
        <f>70*300*2</f>
        <v>42000</v>
      </c>
      <c r="C6" s="1">
        <f aca="true" t="shared" si="0" ref="C6:H6">70*300*2</f>
        <v>42000</v>
      </c>
      <c r="D6" s="1">
        <f t="shared" si="0"/>
        <v>42000</v>
      </c>
      <c r="E6" s="1">
        <f t="shared" si="0"/>
        <v>42000</v>
      </c>
      <c r="F6" s="1">
        <f t="shared" si="0"/>
        <v>42000</v>
      </c>
      <c r="G6" s="1">
        <f t="shared" si="0"/>
        <v>42000</v>
      </c>
      <c r="H6" s="1">
        <f t="shared" si="0"/>
        <v>42000</v>
      </c>
    </row>
    <row r="8" spans="1:8" ht="12.75">
      <c r="A8" s="1" t="s">
        <v>219</v>
      </c>
      <c r="B8" s="1">
        <f>'Quantitative Statement'!C8</f>
        <v>29000</v>
      </c>
      <c r="C8" s="1">
        <f>'Quantitative Statement'!C16</f>
        <v>31400</v>
      </c>
      <c r="D8" s="1">
        <f>'Quantitative Statement'!C24</f>
        <v>33310</v>
      </c>
      <c r="E8" s="1">
        <f>'Quantitative Statement'!C32</f>
        <v>35650</v>
      </c>
      <c r="F8" s="1">
        <f>'Quantitative Statement'!C40</f>
        <v>36300</v>
      </c>
      <c r="G8" s="1">
        <f>'Quantitative Statement'!C48</f>
        <v>37750</v>
      </c>
      <c r="H8" s="1">
        <f>'Quantitative Statement'!C56</f>
        <v>38500</v>
      </c>
    </row>
    <row r="10" spans="1:8" ht="12.75">
      <c r="A10" s="1" t="s">
        <v>220</v>
      </c>
      <c r="B10" s="1">
        <f>B8/B6*100</f>
        <v>69.04761904761905</v>
      </c>
      <c r="C10" s="1">
        <f aca="true" t="shared" si="1" ref="C10:H10">C8/C6*100</f>
        <v>74.76190476190476</v>
      </c>
      <c r="D10" s="1">
        <f t="shared" si="1"/>
        <v>79.30952380952381</v>
      </c>
      <c r="E10" s="1">
        <f t="shared" si="1"/>
        <v>84.88095238095238</v>
      </c>
      <c r="F10" s="1">
        <f t="shared" si="1"/>
        <v>86.42857142857143</v>
      </c>
      <c r="G10" s="1">
        <f t="shared" si="1"/>
        <v>89.88095238095238</v>
      </c>
      <c r="H10" s="1">
        <f t="shared" si="1"/>
        <v>91.66666666666666</v>
      </c>
    </row>
    <row r="12" ht="12.75">
      <c r="A12" s="121" t="s">
        <v>83</v>
      </c>
    </row>
    <row r="13" ht="12.75">
      <c r="A13" s="1" t="s">
        <v>91</v>
      </c>
    </row>
    <row r="14" ht="12.75">
      <c r="A14" s="122" t="s">
        <v>13</v>
      </c>
    </row>
    <row r="15" spans="1:8" ht="12.75">
      <c r="A15" s="1" t="s">
        <v>4</v>
      </c>
      <c r="B15" s="120">
        <f>'Quantitative Statement'!E7*6650</f>
        <v>60648000</v>
      </c>
      <c r="C15" s="1">
        <f>'valuation of stock'!G22</f>
        <v>73055850</v>
      </c>
      <c r="D15" s="1">
        <f>'valuation of stock'!J22</f>
        <v>80736831</v>
      </c>
      <c r="E15" s="1">
        <f>'valuation of stock'!D56</f>
        <v>89273347.340625</v>
      </c>
      <c r="F15" s="1">
        <f>'valuation of stock'!G56</f>
        <v>95411072.51372813</v>
      </c>
      <c r="G15" s="1">
        <f>'valuation of stock'!J56</f>
        <v>103646351.65084201</v>
      </c>
      <c r="H15" s="1">
        <f>'valuation of stock'!M56</f>
        <v>109937972.54570131</v>
      </c>
    </row>
    <row r="16" spans="1:8" ht="12.75">
      <c r="A16" s="1" t="s">
        <v>5</v>
      </c>
      <c r="B16" s="120">
        <f>'Quantitative Statement'!G7*1080</f>
        <v>19627919.999999996</v>
      </c>
      <c r="C16" s="1">
        <f>'valuation of stock'!G30</f>
        <v>23029272</v>
      </c>
      <c r="D16" s="1">
        <f>'valuation of stock'!J30</f>
        <v>25529798.7</v>
      </c>
      <c r="E16" s="1">
        <f>'valuation of stock'!D63</f>
        <v>29182484.76</v>
      </c>
      <c r="F16" s="1">
        <f>'valuation of stock'!G63</f>
        <v>31058320.48525</v>
      </c>
      <c r="G16" s="1">
        <f>'valuation of stock'!J63</f>
        <v>33771132.037475005</v>
      </c>
      <c r="H16" s="1">
        <f>'valuation of stock'!M63</f>
        <v>36372590.4073075</v>
      </c>
    </row>
    <row r="18" ht="12.75">
      <c r="A18" s="122" t="s">
        <v>71</v>
      </c>
    </row>
    <row r="19" spans="1:8" ht="12.75">
      <c r="A19" s="1" t="s">
        <v>2</v>
      </c>
      <c r="B19" s="1">
        <f>'valuation of stock'!D9</f>
        <v>2600000</v>
      </c>
      <c r="C19" s="1">
        <f>'valuation of stock'!G9</f>
        <v>3003000</v>
      </c>
      <c r="D19" s="1">
        <f>'valuation of stock'!J9</f>
        <v>3869775</v>
      </c>
      <c r="E19" s="1">
        <f>'valuation of stock'!D43</f>
        <v>4664453.75</v>
      </c>
      <c r="F19" s="1">
        <f>'valuation of stock'!G43</f>
        <v>5529065.9375</v>
      </c>
      <c r="G19" s="1">
        <f>'valuation of stock'!J43</f>
        <v>6633946.625</v>
      </c>
      <c r="H19" s="1">
        <f>'valuation of stock'!M43</f>
        <v>6963697.331250001</v>
      </c>
    </row>
    <row r="20" spans="1:8" ht="12.75">
      <c r="A20" s="1" t="s">
        <v>4</v>
      </c>
      <c r="B20" s="1">
        <f>'valuation of stock'!D23</f>
        <v>3135907.3620412387</v>
      </c>
      <c r="C20" s="1">
        <f>'valuation of stock'!G23</f>
        <v>4587406.625725811</v>
      </c>
      <c r="D20" s="1">
        <f>'valuation of stock'!J23</f>
        <v>5715920.421870458</v>
      </c>
      <c r="E20" s="1">
        <f>'valuation of stock'!D57</f>
        <v>7175570.612365364</v>
      </c>
      <c r="F20" s="1">
        <f>'valuation of stock'!G57</f>
        <v>8360920.047253021</v>
      </c>
      <c r="G20" s="1">
        <f>'valuation of stock'!J57</f>
        <v>9196883.738368826</v>
      </c>
      <c r="H20" s="1">
        <f>'valuation of stock'!M57</f>
        <v>10092357.996672137</v>
      </c>
    </row>
    <row r="21" spans="1:8" ht="12.75">
      <c r="A21" s="1" t="s">
        <v>5</v>
      </c>
      <c r="B21" s="1">
        <f>'valuation of stock'!D31</f>
        <v>483929.2215583537</v>
      </c>
      <c r="C21" s="1">
        <f>'valuation of stock'!G31</f>
        <v>659983.0608218939</v>
      </c>
      <c r="D21" s="1">
        <f>'valuation of stock'!J31</f>
        <v>952811.0991623235</v>
      </c>
      <c r="E21" s="1">
        <f>'valuation of stock'!D64</f>
        <v>1044088.3803941258</v>
      </c>
      <c r="F21" s="1">
        <f>'valuation of stock'!G64</f>
        <v>1202794.6494657549</v>
      </c>
      <c r="G21" s="1">
        <f>'valuation of stock'!J64</f>
        <v>1453344.923330168</v>
      </c>
      <c r="H21" s="1">
        <f>'valuation of stock'!M64</f>
        <v>1613154.7597699</v>
      </c>
    </row>
    <row r="23" spans="1:8" ht="13.5" thickBot="1">
      <c r="A23" s="123" t="s">
        <v>97</v>
      </c>
      <c r="B23" s="123">
        <f aca="true" t="shared" si="2" ref="B23:H23">SUM(B13:B22)</f>
        <v>86495756.58359958</v>
      </c>
      <c r="C23" s="123">
        <f t="shared" si="2"/>
        <v>104335511.6865477</v>
      </c>
      <c r="D23" s="123">
        <f t="shared" si="2"/>
        <v>116805136.22103278</v>
      </c>
      <c r="E23" s="123">
        <f t="shared" si="2"/>
        <v>131339944.8433845</v>
      </c>
      <c r="F23" s="123">
        <f t="shared" si="2"/>
        <v>141562173.63319692</v>
      </c>
      <c r="G23" s="123">
        <f t="shared" si="2"/>
        <v>154701658.975016</v>
      </c>
      <c r="H23" s="123">
        <f t="shared" si="2"/>
        <v>164979773.04070082</v>
      </c>
    </row>
    <row r="24" ht="13.5" thickTop="1">
      <c r="A24" s="124" t="s">
        <v>98</v>
      </c>
    </row>
    <row r="25" ht="12.75">
      <c r="A25" s="125" t="s">
        <v>106</v>
      </c>
    </row>
    <row r="26" spans="1:8" ht="12.75">
      <c r="A26" s="1" t="s">
        <v>2</v>
      </c>
      <c r="C26" s="1">
        <f aca="true" t="shared" si="3" ref="C26:H26">B19</f>
        <v>2600000</v>
      </c>
      <c r="D26" s="1">
        <f t="shared" si="3"/>
        <v>3003000</v>
      </c>
      <c r="E26" s="1">
        <f t="shared" si="3"/>
        <v>3869775</v>
      </c>
      <c r="F26" s="1">
        <f t="shared" si="3"/>
        <v>4664453.75</v>
      </c>
      <c r="G26" s="1">
        <f t="shared" si="3"/>
        <v>5529065.9375</v>
      </c>
      <c r="H26" s="1">
        <f t="shared" si="3"/>
        <v>6633946.625</v>
      </c>
    </row>
    <row r="27" spans="1:8" ht="12.75">
      <c r="A27" s="1" t="s">
        <v>4</v>
      </c>
      <c r="C27" s="1">
        <f aca="true" t="shared" si="4" ref="C27:H28">B20</f>
        <v>3135907.3620412387</v>
      </c>
      <c r="D27" s="1">
        <f t="shared" si="4"/>
        <v>4587406.625725811</v>
      </c>
      <c r="E27" s="1">
        <f t="shared" si="4"/>
        <v>5715920.421870458</v>
      </c>
      <c r="F27" s="1">
        <f t="shared" si="4"/>
        <v>7175570.612365364</v>
      </c>
      <c r="G27" s="1">
        <f t="shared" si="4"/>
        <v>8360920.047253021</v>
      </c>
      <c r="H27" s="1">
        <f t="shared" si="4"/>
        <v>9196883.738368826</v>
      </c>
    </row>
    <row r="28" spans="1:8" ht="12.75">
      <c r="A28" s="1" t="s">
        <v>5</v>
      </c>
      <c r="C28" s="1">
        <f t="shared" si="4"/>
        <v>483929.2215583537</v>
      </c>
      <c r="D28" s="1">
        <f t="shared" si="4"/>
        <v>659983.0608218939</v>
      </c>
      <c r="E28" s="1">
        <f t="shared" si="4"/>
        <v>952811.0991623235</v>
      </c>
      <c r="F28" s="1">
        <f t="shared" si="4"/>
        <v>1044088.3803941258</v>
      </c>
      <c r="G28" s="1">
        <f t="shared" si="4"/>
        <v>1202794.6494657549</v>
      </c>
      <c r="H28" s="1">
        <f t="shared" si="4"/>
        <v>1453344.923330168</v>
      </c>
    </row>
    <row r="30" ht="12.75">
      <c r="A30" s="122" t="s">
        <v>8</v>
      </c>
    </row>
    <row r="31" spans="1:8" ht="12.75">
      <c r="A31" s="1" t="s">
        <v>2</v>
      </c>
      <c r="B31" s="120">
        <f>'valuation of stock'!D7</f>
        <v>78000000</v>
      </c>
      <c r="C31" s="1">
        <f>'valuation of stock'!G7</f>
        <v>85995000</v>
      </c>
      <c r="D31" s="1">
        <f>'valuation of stock'!J7</f>
        <v>96199740</v>
      </c>
      <c r="E31" s="1">
        <f>'valuation of stock'!D41</f>
        <v>107884301.25</v>
      </c>
      <c r="F31" s="1">
        <f>'valuation of stock'!G41</f>
        <v>115320518.125</v>
      </c>
      <c r="G31" s="1">
        <f>'valuation of stock'!J41</f>
        <v>126044985.87499999</v>
      </c>
      <c r="H31" s="1">
        <f>'valuation of stock'!M41</f>
        <v>134051173.6265625</v>
      </c>
    </row>
    <row r="33" spans="1:8" ht="12.75">
      <c r="A33" s="1" t="s">
        <v>108</v>
      </c>
      <c r="B33" s="120">
        <v>800000</v>
      </c>
      <c r="C33" s="1">
        <f aca="true" t="shared" si="5" ref="C33:H35">B33*5%+B33</f>
        <v>840000</v>
      </c>
      <c r="D33" s="1">
        <f t="shared" si="5"/>
        <v>882000</v>
      </c>
      <c r="E33" s="1">
        <f t="shared" si="5"/>
        <v>926100</v>
      </c>
      <c r="F33" s="1">
        <f t="shared" si="5"/>
        <v>972405</v>
      </c>
      <c r="G33" s="1">
        <f t="shared" si="5"/>
        <v>1021025.25</v>
      </c>
      <c r="H33" s="1">
        <f t="shared" si="5"/>
        <v>1072076.5125</v>
      </c>
    </row>
    <row r="34" spans="1:8" ht="12.75">
      <c r="A34" s="1" t="s">
        <v>103</v>
      </c>
      <c r="B34" s="120">
        <v>500000</v>
      </c>
      <c r="C34" s="1">
        <f t="shared" si="5"/>
        <v>525000</v>
      </c>
      <c r="D34" s="1">
        <f t="shared" si="5"/>
        <v>551250</v>
      </c>
      <c r="E34" s="1">
        <f t="shared" si="5"/>
        <v>578812.5</v>
      </c>
      <c r="F34" s="1">
        <f t="shared" si="5"/>
        <v>607753.125</v>
      </c>
      <c r="G34" s="1">
        <f t="shared" si="5"/>
        <v>638140.78125</v>
      </c>
      <c r="H34" s="1">
        <f t="shared" si="5"/>
        <v>670047.8203125</v>
      </c>
    </row>
    <row r="35" spans="1:8" ht="12.75">
      <c r="A35" s="1" t="s">
        <v>109</v>
      </c>
      <c r="B35" s="120">
        <v>400000</v>
      </c>
      <c r="C35" s="1">
        <f t="shared" si="5"/>
        <v>420000</v>
      </c>
      <c r="D35" s="1">
        <f t="shared" si="5"/>
        <v>441000</v>
      </c>
      <c r="E35" s="1">
        <f t="shared" si="5"/>
        <v>463050</v>
      </c>
      <c r="F35" s="1">
        <f t="shared" si="5"/>
        <v>486202.5</v>
      </c>
      <c r="G35" s="1">
        <f t="shared" si="5"/>
        <v>510512.625</v>
      </c>
      <c r="H35" s="1">
        <f t="shared" si="5"/>
        <v>536038.25625</v>
      </c>
    </row>
    <row r="36" ht="12.75">
      <c r="B36" s="126"/>
    </row>
    <row r="38" spans="1:8" ht="13.5" thickBot="1">
      <c r="A38" s="123" t="s">
        <v>140</v>
      </c>
      <c r="B38" s="123">
        <f>SUM(B30:B37)</f>
        <v>79700000</v>
      </c>
      <c r="C38" s="123">
        <f aca="true" t="shared" si="6" ref="C38:H38">SUM(C26:C37)</f>
        <v>93999836.5835996</v>
      </c>
      <c r="D38" s="123">
        <f t="shared" si="6"/>
        <v>106324379.68654771</v>
      </c>
      <c r="E38" s="123">
        <f t="shared" si="6"/>
        <v>120390770.27103278</v>
      </c>
      <c r="F38" s="123">
        <f t="shared" si="6"/>
        <v>130270991.4927595</v>
      </c>
      <c r="G38" s="123">
        <f t="shared" si="6"/>
        <v>143307445.16546875</v>
      </c>
      <c r="H38" s="123">
        <f t="shared" si="6"/>
        <v>153613511.502324</v>
      </c>
    </row>
    <row r="39" ht="13.5" thickTop="1"/>
    <row r="40" spans="1:8" ht="12.75">
      <c r="A40" s="1" t="s">
        <v>141</v>
      </c>
      <c r="B40" s="1">
        <f>B23-B38</f>
        <v>6795756.583599582</v>
      </c>
      <c r="C40" s="1">
        <f aca="true" t="shared" si="7" ref="C40:H40">C23-C38</f>
        <v>10335675.1029481</v>
      </c>
      <c r="D40" s="1">
        <f t="shared" si="7"/>
        <v>10480756.534485072</v>
      </c>
      <c r="E40" s="1">
        <f t="shared" si="7"/>
        <v>10949174.572351724</v>
      </c>
      <c r="F40" s="1">
        <f t="shared" si="7"/>
        <v>11291182.140437424</v>
      </c>
      <c r="G40" s="1">
        <f t="shared" si="7"/>
        <v>11394213.809547246</v>
      </c>
      <c r="H40" s="1">
        <f t="shared" si="7"/>
        <v>11366261.538376838</v>
      </c>
    </row>
    <row r="42" spans="1:8" ht="13.5" thickBot="1">
      <c r="A42" s="123" t="s">
        <v>142</v>
      </c>
      <c r="B42" s="119">
        <f>B40</f>
        <v>6795756.583599582</v>
      </c>
      <c r="C42" s="119">
        <f aca="true" t="shared" si="8" ref="C42:H42">C40</f>
        <v>10335675.1029481</v>
      </c>
      <c r="D42" s="119">
        <f t="shared" si="8"/>
        <v>10480756.534485072</v>
      </c>
      <c r="E42" s="119">
        <f t="shared" si="8"/>
        <v>10949174.572351724</v>
      </c>
      <c r="F42" s="119">
        <f t="shared" si="8"/>
        <v>11291182.140437424</v>
      </c>
      <c r="G42" s="119">
        <f t="shared" si="8"/>
        <v>11394213.809547246</v>
      </c>
      <c r="H42" s="119">
        <f t="shared" si="8"/>
        <v>11366261.538376838</v>
      </c>
    </row>
    <row r="43" ht="13.5" thickTop="1">
      <c r="A43" s="1" t="s">
        <v>165</v>
      </c>
    </row>
    <row r="44" ht="12.75">
      <c r="A44" s="121" t="s">
        <v>143</v>
      </c>
    </row>
    <row r="45" spans="1:8" ht="12.75">
      <c r="A45" s="1" t="s">
        <v>144</v>
      </c>
      <c r="B45" s="1">
        <v>450000</v>
      </c>
      <c r="C45" s="1">
        <f aca="true" t="shared" si="9" ref="C45:H45">B45*2.5%+B45</f>
        <v>461250</v>
      </c>
      <c r="D45" s="1">
        <f t="shared" si="9"/>
        <v>472781.25</v>
      </c>
      <c r="E45" s="1">
        <f t="shared" si="9"/>
        <v>484600.78125</v>
      </c>
      <c r="F45" s="1">
        <f t="shared" si="9"/>
        <v>496715.80078125</v>
      </c>
      <c r="G45" s="1">
        <f t="shared" si="9"/>
        <v>509133.69580078125</v>
      </c>
      <c r="H45" s="1">
        <f t="shared" si="9"/>
        <v>521862.0381958008</v>
      </c>
    </row>
    <row r="46" spans="1:8" ht="12.75">
      <c r="A46" s="127" t="s">
        <v>145</v>
      </c>
      <c r="B46" s="1">
        <v>75000</v>
      </c>
      <c r="C46" s="1">
        <f aca="true" t="shared" si="10" ref="C46:H59">B46*2.5%+B46</f>
        <v>76875</v>
      </c>
      <c r="D46" s="1">
        <f t="shared" si="10"/>
        <v>78796.875</v>
      </c>
      <c r="E46" s="1">
        <f t="shared" si="10"/>
        <v>80766.796875</v>
      </c>
      <c r="F46" s="1">
        <f t="shared" si="10"/>
        <v>82785.966796875</v>
      </c>
      <c r="G46" s="1">
        <f t="shared" si="10"/>
        <v>84855.61596679688</v>
      </c>
      <c r="H46" s="1">
        <f t="shared" si="10"/>
        <v>86977.0063659668</v>
      </c>
    </row>
    <row r="47" spans="1:8" ht="12.75">
      <c r="A47" s="127" t="s">
        <v>146</v>
      </c>
      <c r="B47" s="1">
        <v>150000</v>
      </c>
      <c r="C47" s="1">
        <f t="shared" si="10"/>
        <v>153750</v>
      </c>
      <c r="D47" s="1">
        <f t="shared" si="10"/>
        <v>157593.75</v>
      </c>
      <c r="E47" s="1">
        <f t="shared" si="10"/>
        <v>161533.59375</v>
      </c>
      <c r="F47" s="1">
        <f t="shared" si="10"/>
        <v>165571.93359375</v>
      </c>
      <c r="G47" s="1">
        <f t="shared" si="10"/>
        <v>169711.23193359375</v>
      </c>
      <c r="H47" s="1">
        <f t="shared" si="10"/>
        <v>173954.0127319336</v>
      </c>
    </row>
    <row r="48" spans="1:8" ht="12.75">
      <c r="A48" s="127" t="s">
        <v>147</v>
      </c>
      <c r="B48" s="1">
        <v>20000</v>
      </c>
      <c r="C48" s="1">
        <f t="shared" si="10"/>
        <v>20500</v>
      </c>
      <c r="D48" s="1">
        <f t="shared" si="10"/>
        <v>21012.5</v>
      </c>
      <c r="E48" s="1">
        <f t="shared" si="10"/>
        <v>21537.8125</v>
      </c>
      <c r="F48" s="1">
        <f t="shared" si="10"/>
        <v>22076.2578125</v>
      </c>
      <c r="G48" s="1">
        <f t="shared" si="10"/>
        <v>22628.1642578125</v>
      </c>
      <c r="H48" s="1">
        <f t="shared" si="10"/>
        <v>23193.86836425781</v>
      </c>
    </row>
    <row r="49" spans="1:8" ht="12.75">
      <c r="A49" s="127" t="s">
        <v>148</v>
      </c>
      <c r="B49" s="1">
        <v>850000</v>
      </c>
      <c r="C49" s="1">
        <f t="shared" si="10"/>
        <v>871250</v>
      </c>
      <c r="D49" s="1">
        <f t="shared" si="10"/>
        <v>893031.25</v>
      </c>
      <c r="E49" s="1">
        <f t="shared" si="10"/>
        <v>915357.03125</v>
      </c>
      <c r="F49" s="1">
        <f t="shared" si="10"/>
        <v>938240.95703125</v>
      </c>
      <c r="G49" s="1">
        <f t="shared" si="10"/>
        <v>961696.9809570312</v>
      </c>
      <c r="H49" s="1">
        <f t="shared" si="10"/>
        <v>985739.405480957</v>
      </c>
    </row>
    <row r="50" spans="1:8" ht="12.75">
      <c r="A50" s="127" t="s">
        <v>149</v>
      </c>
      <c r="B50" s="1">
        <v>30000</v>
      </c>
      <c r="C50" s="1">
        <f t="shared" si="10"/>
        <v>30750</v>
      </c>
      <c r="D50" s="1">
        <f t="shared" si="10"/>
        <v>31518.75</v>
      </c>
      <c r="E50" s="1">
        <f t="shared" si="10"/>
        <v>32306.71875</v>
      </c>
      <c r="F50" s="1">
        <f t="shared" si="10"/>
        <v>33114.38671875</v>
      </c>
      <c r="G50" s="1">
        <f t="shared" si="10"/>
        <v>33942.24638671875</v>
      </c>
      <c r="H50" s="1">
        <f t="shared" si="10"/>
        <v>34790.802546386716</v>
      </c>
    </row>
    <row r="51" spans="1:8" ht="12.75">
      <c r="A51" s="127" t="s">
        <v>150</v>
      </c>
      <c r="B51" s="1">
        <v>100000</v>
      </c>
      <c r="C51" s="1">
        <f t="shared" si="10"/>
        <v>102500</v>
      </c>
      <c r="D51" s="1">
        <f t="shared" si="10"/>
        <v>105062.5</v>
      </c>
      <c r="E51" s="1">
        <f t="shared" si="10"/>
        <v>107689.0625</v>
      </c>
      <c r="F51" s="1">
        <f t="shared" si="10"/>
        <v>110381.2890625</v>
      </c>
      <c r="G51" s="1">
        <f t="shared" si="10"/>
        <v>113140.8212890625</v>
      </c>
      <c r="H51" s="1">
        <f t="shared" si="10"/>
        <v>115969.34182128907</v>
      </c>
    </row>
    <row r="52" spans="1:8" ht="12.75">
      <c r="A52" s="127" t="s">
        <v>151</v>
      </c>
      <c r="B52" s="1">
        <v>35000</v>
      </c>
      <c r="C52" s="1">
        <f t="shared" si="10"/>
        <v>35875</v>
      </c>
      <c r="D52" s="1">
        <f t="shared" si="10"/>
        <v>36771.875</v>
      </c>
      <c r="E52" s="1">
        <f t="shared" si="10"/>
        <v>37691.171875</v>
      </c>
      <c r="F52" s="1">
        <f t="shared" si="10"/>
        <v>38633.451171875</v>
      </c>
      <c r="G52" s="1">
        <f t="shared" si="10"/>
        <v>39599.28745117188</v>
      </c>
      <c r="H52" s="1">
        <f t="shared" si="10"/>
        <v>40589.26963745117</v>
      </c>
    </row>
    <row r="53" spans="1:8" ht="12.75">
      <c r="A53" s="127" t="s">
        <v>152</v>
      </c>
      <c r="B53" s="1">
        <v>30000</v>
      </c>
      <c r="C53" s="1">
        <f t="shared" si="10"/>
        <v>30750</v>
      </c>
      <c r="D53" s="1">
        <f t="shared" si="10"/>
        <v>31518.75</v>
      </c>
      <c r="E53" s="1">
        <f t="shared" si="10"/>
        <v>32306.71875</v>
      </c>
      <c r="F53" s="1">
        <f t="shared" si="10"/>
        <v>33114.38671875</v>
      </c>
      <c r="G53" s="1">
        <f t="shared" si="10"/>
        <v>33942.24638671875</v>
      </c>
      <c r="H53" s="1">
        <f t="shared" si="10"/>
        <v>34790.802546386716</v>
      </c>
    </row>
    <row r="54" spans="1:8" ht="12.75">
      <c r="A54" s="127" t="s">
        <v>153</v>
      </c>
      <c r="B54" s="1">
        <v>5000</v>
      </c>
      <c r="C54" s="1">
        <f t="shared" si="10"/>
        <v>5125</v>
      </c>
      <c r="D54" s="1">
        <f t="shared" si="10"/>
        <v>5253.125</v>
      </c>
      <c r="E54" s="1">
        <f t="shared" si="10"/>
        <v>5384.453125</v>
      </c>
      <c r="F54" s="1">
        <f t="shared" si="10"/>
        <v>5519.064453125</v>
      </c>
      <c r="G54" s="1">
        <f t="shared" si="10"/>
        <v>5657.041064453125</v>
      </c>
      <c r="H54" s="1">
        <f t="shared" si="10"/>
        <v>5798.467091064453</v>
      </c>
    </row>
    <row r="55" spans="1:8" ht="12.75">
      <c r="A55" s="127" t="s">
        <v>154</v>
      </c>
      <c r="B55" s="1">
        <v>10000</v>
      </c>
      <c r="C55" s="1">
        <f t="shared" si="10"/>
        <v>10250</v>
      </c>
      <c r="D55" s="1">
        <f t="shared" si="10"/>
        <v>10506.25</v>
      </c>
      <c r="E55" s="1">
        <f t="shared" si="10"/>
        <v>10768.90625</v>
      </c>
      <c r="F55" s="1">
        <f t="shared" si="10"/>
        <v>11038.12890625</v>
      </c>
      <c r="G55" s="1">
        <f t="shared" si="10"/>
        <v>11314.08212890625</v>
      </c>
      <c r="H55" s="1">
        <f t="shared" si="10"/>
        <v>11596.934182128905</v>
      </c>
    </row>
    <row r="56" spans="1:8" ht="12.75">
      <c r="A56" s="127" t="s">
        <v>155</v>
      </c>
      <c r="B56" s="1">
        <v>2500</v>
      </c>
      <c r="C56" s="1">
        <v>2500</v>
      </c>
      <c r="D56" s="1">
        <v>2500</v>
      </c>
      <c r="E56" s="1">
        <v>2500</v>
      </c>
      <c r="F56" s="1">
        <v>2500</v>
      </c>
      <c r="G56" s="1">
        <v>2500</v>
      </c>
      <c r="H56" s="1">
        <v>2500</v>
      </c>
    </row>
    <row r="57" spans="1:8" ht="12.75">
      <c r="A57" s="127" t="s">
        <v>156</v>
      </c>
      <c r="B57" s="1">
        <v>20000</v>
      </c>
      <c r="C57" s="1">
        <f t="shared" si="10"/>
        <v>20500</v>
      </c>
      <c r="D57" s="1">
        <f t="shared" si="10"/>
        <v>21012.5</v>
      </c>
      <c r="E57" s="1">
        <f t="shared" si="10"/>
        <v>21537.8125</v>
      </c>
      <c r="F57" s="1">
        <f t="shared" si="10"/>
        <v>22076.2578125</v>
      </c>
      <c r="G57" s="1">
        <f t="shared" si="10"/>
        <v>22628.1642578125</v>
      </c>
      <c r="H57" s="1">
        <f t="shared" si="10"/>
        <v>23193.86836425781</v>
      </c>
    </row>
    <row r="58" spans="1:8" ht="12.75">
      <c r="A58" s="127" t="s">
        <v>157</v>
      </c>
      <c r="B58" s="1">
        <v>300000</v>
      </c>
      <c r="C58" s="1">
        <f t="shared" si="10"/>
        <v>307500</v>
      </c>
      <c r="D58" s="1">
        <f t="shared" si="10"/>
        <v>315187.5</v>
      </c>
      <c r="E58" s="1">
        <f t="shared" si="10"/>
        <v>323067.1875</v>
      </c>
      <c r="F58" s="1">
        <f t="shared" si="10"/>
        <v>331143.8671875</v>
      </c>
      <c r="G58" s="1">
        <f t="shared" si="10"/>
        <v>339422.4638671875</v>
      </c>
      <c r="H58" s="1">
        <f t="shared" si="10"/>
        <v>347908.0254638672</v>
      </c>
    </row>
    <row r="59" spans="1:8" ht="12.75">
      <c r="A59" s="127" t="s">
        <v>158</v>
      </c>
      <c r="B59" s="1">
        <v>50000</v>
      </c>
      <c r="C59" s="1">
        <f t="shared" si="10"/>
        <v>51250</v>
      </c>
      <c r="D59" s="1">
        <f t="shared" si="10"/>
        <v>52531.25</v>
      </c>
      <c r="E59" s="1">
        <f t="shared" si="10"/>
        <v>53844.53125</v>
      </c>
      <c r="F59" s="1">
        <f t="shared" si="10"/>
        <v>55190.64453125</v>
      </c>
      <c r="G59" s="1">
        <f t="shared" si="10"/>
        <v>56570.41064453125</v>
      </c>
      <c r="H59" s="1">
        <f t="shared" si="10"/>
        <v>57984.670910644534</v>
      </c>
    </row>
    <row r="60" spans="1:8" ht="12.75">
      <c r="A60" s="127" t="s">
        <v>159</v>
      </c>
      <c r="B60" s="1">
        <f>'REP SCH FOR U 4'!D20</f>
        <v>1395833.3550000004</v>
      </c>
      <c r="C60" s="1">
        <f>'REP SCH FOR U 4'!D37</f>
        <v>1258334.07</v>
      </c>
      <c r="D60" s="1">
        <f>'REP SCH FOR U 4'!D54</f>
        <v>1058335.1100000003</v>
      </c>
      <c r="E60" s="1">
        <f>'REP SCH FOR U 4'!D71</f>
        <v>858336.1500000001</v>
      </c>
      <c r="F60" s="1">
        <f>'REP SCH FOR U 4'!D88</f>
        <v>658337.19</v>
      </c>
      <c r="G60" s="1">
        <f>'REP SCH FOR U 4'!D105</f>
        <v>458338.2300000001</v>
      </c>
      <c r="H60" s="1">
        <f>'REP SCH FOR U 4'!D122</f>
        <v>258339.27000000002</v>
      </c>
    </row>
    <row r="61" spans="1:8" ht="12.75">
      <c r="A61" s="127" t="s">
        <v>160</v>
      </c>
      <c r="B61" s="1">
        <f>5000000*15.25%</f>
        <v>762500</v>
      </c>
      <c r="C61" s="1">
        <f aca="true" t="shared" si="11" ref="C61:H61">5000000*15.25%</f>
        <v>762500</v>
      </c>
      <c r="D61" s="1">
        <f t="shared" si="11"/>
        <v>762500</v>
      </c>
      <c r="E61" s="1">
        <f t="shared" si="11"/>
        <v>762500</v>
      </c>
      <c r="F61" s="1">
        <f t="shared" si="11"/>
        <v>762500</v>
      </c>
      <c r="G61" s="1">
        <f t="shared" si="11"/>
        <v>762500</v>
      </c>
      <c r="H61" s="1">
        <f t="shared" si="11"/>
        <v>762500</v>
      </c>
    </row>
    <row r="62" spans="1:8" ht="12.75">
      <c r="A62" s="127" t="s">
        <v>161</v>
      </c>
      <c r="B62" s="1">
        <f>Dep!E12</f>
        <v>1267814.6999999997</v>
      </c>
      <c r="C62" s="1">
        <f>Dep!E24</f>
        <v>1077642.4949999999</v>
      </c>
      <c r="D62" s="1">
        <f>Dep!E35</f>
        <v>915996.12075</v>
      </c>
      <c r="E62" s="1">
        <f>Dep!E46</f>
        <v>778596.7026375</v>
      </c>
      <c r="F62" s="1">
        <f>Dep!E57</f>
        <v>661807.197241875</v>
      </c>
      <c r="G62" s="1">
        <f>Dep!E68</f>
        <v>562536.1176555938</v>
      </c>
      <c r="H62" s="1">
        <f>Dep!E79</f>
        <v>478155.7000072547</v>
      </c>
    </row>
    <row r="63" ht="12.75">
      <c r="A63" s="127"/>
    </row>
    <row r="64" ht="12.75">
      <c r="A64" s="127"/>
    </row>
    <row r="65" spans="1:8" ht="13.5" thickBot="1">
      <c r="A65" s="123" t="s">
        <v>166</v>
      </c>
      <c r="B65" s="123">
        <f aca="true" t="shared" si="12" ref="B65:H65">B42</f>
        <v>6795756.583599582</v>
      </c>
      <c r="C65" s="123">
        <f t="shared" si="12"/>
        <v>10335675.1029481</v>
      </c>
      <c r="D65" s="123">
        <f t="shared" si="12"/>
        <v>10480756.534485072</v>
      </c>
      <c r="E65" s="123">
        <f t="shared" si="12"/>
        <v>10949174.572351724</v>
      </c>
      <c r="F65" s="123">
        <f t="shared" si="12"/>
        <v>11291182.140437424</v>
      </c>
      <c r="G65" s="123">
        <f t="shared" si="12"/>
        <v>11394213.809547246</v>
      </c>
      <c r="H65" s="123">
        <f t="shared" si="12"/>
        <v>11366261.538376838</v>
      </c>
    </row>
    <row r="66" ht="13.5" thickTop="1"/>
    <row r="67" spans="1:8" ht="12.75">
      <c r="A67" s="121" t="s">
        <v>215</v>
      </c>
      <c r="B67" s="121">
        <f aca="true" t="shared" si="13" ref="B67:H67">B42-SUM(B45:B64)</f>
        <v>1242108.5285995826</v>
      </c>
      <c r="C67" s="121">
        <f t="shared" si="13"/>
        <v>5056573.537948099</v>
      </c>
      <c r="D67" s="121">
        <f t="shared" si="13"/>
        <v>5508847.178735072</v>
      </c>
      <c r="E67" s="121">
        <f t="shared" si="13"/>
        <v>6258849.141589223</v>
      </c>
      <c r="F67" s="121">
        <f t="shared" si="13"/>
        <v>6860435.360617424</v>
      </c>
      <c r="G67" s="121">
        <f t="shared" si="13"/>
        <v>7204097.009499073</v>
      </c>
      <c r="H67" s="121">
        <f t="shared" si="13"/>
        <v>7400418.054667192</v>
      </c>
    </row>
    <row r="68" spans="1:8" ht="12.75">
      <c r="A68" s="1" t="s">
        <v>216</v>
      </c>
      <c r="B68" s="1">
        <f>B67*33.33%</f>
        <v>413994.77258224087</v>
      </c>
      <c r="C68" s="1">
        <f aca="true" t="shared" si="14" ref="C68:H68">C67*33.33%</f>
        <v>1685355.9601981014</v>
      </c>
      <c r="D68" s="1">
        <f t="shared" si="14"/>
        <v>1836098.7646723993</v>
      </c>
      <c r="E68" s="1">
        <f t="shared" si="14"/>
        <v>2086074.418891688</v>
      </c>
      <c r="F68" s="1">
        <f t="shared" si="14"/>
        <v>2286583.1056937873</v>
      </c>
      <c r="G68" s="1">
        <f t="shared" si="14"/>
        <v>2401125.533266041</v>
      </c>
      <c r="H68" s="1">
        <f t="shared" si="14"/>
        <v>2466559.337620575</v>
      </c>
    </row>
    <row r="70" spans="1:8" ht="13.5" thickBot="1">
      <c r="A70" s="123" t="s">
        <v>217</v>
      </c>
      <c r="B70" s="123">
        <f>B67-B68</f>
        <v>828113.7560173417</v>
      </c>
      <c r="C70" s="123">
        <f aca="true" t="shared" si="15" ref="C70:H70">C67-C68</f>
        <v>3371217.5777499974</v>
      </c>
      <c r="D70" s="123">
        <f t="shared" si="15"/>
        <v>3672748.4140626723</v>
      </c>
      <c r="E70" s="123">
        <f t="shared" si="15"/>
        <v>4172774.7226975355</v>
      </c>
      <c r="F70" s="123">
        <f t="shared" si="15"/>
        <v>4573852.254923637</v>
      </c>
      <c r="G70" s="123">
        <f t="shared" si="15"/>
        <v>4802971.476233032</v>
      </c>
      <c r="H70" s="123">
        <f t="shared" si="15"/>
        <v>4933858.717046617</v>
      </c>
    </row>
    <row r="71" ht="13.5" thickTop="1"/>
    <row r="72" spans="1:8" ht="12.75">
      <c r="A72" s="191" t="s">
        <v>225</v>
      </c>
      <c r="B72" s="191"/>
      <c r="C72" s="191"/>
      <c r="D72" s="191"/>
      <c r="E72" s="191"/>
      <c r="F72" s="191"/>
      <c r="G72" s="191"/>
      <c r="H72" s="191"/>
    </row>
    <row r="73" spans="1:8" ht="12.75">
      <c r="A73" s="191" t="s">
        <v>178</v>
      </c>
      <c r="B73" s="191"/>
      <c r="C73" s="191"/>
      <c r="D73" s="191"/>
      <c r="E73" s="191"/>
      <c r="F73" s="191"/>
      <c r="G73" s="191"/>
      <c r="H73" s="191"/>
    </row>
    <row r="74" spans="1:8" ht="12.75">
      <c r="A74" s="121" t="s">
        <v>3</v>
      </c>
      <c r="B74" s="121" t="s">
        <v>84</v>
      </c>
      <c r="C74" s="121" t="s">
        <v>85</v>
      </c>
      <c r="D74" s="121" t="s">
        <v>86</v>
      </c>
      <c r="E74" s="121" t="s">
        <v>87</v>
      </c>
      <c r="F74" s="121" t="s">
        <v>88</v>
      </c>
      <c r="G74" s="121" t="s">
        <v>89</v>
      </c>
      <c r="H74" s="121" t="s">
        <v>90</v>
      </c>
    </row>
    <row r="75" spans="1:8" ht="12.75">
      <c r="A75" s="121"/>
      <c r="B75" s="121" t="s">
        <v>92</v>
      </c>
      <c r="C75" s="121" t="s">
        <v>65</v>
      </c>
      <c r="D75" s="121" t="s">
        <v>93</v>
      </c>
      <c r="E75" s="121" t="s">
        <v>94</v>
      </c>
      <c r="F75" s="121" t="s">
        <v>66</v>
      </c>
      <c r="G75" s="121" t="s">
        <v>95</v>
      </c>
      <c r="H75" s="121" t="s">
        <v>96</v>
      </c>
    </row>
    <row r="76" spans="1:8" ht="12.75">
      <c r="A76" s="1" t="s">
        <v>179</v>
      </c>
      <c r="B76" s="1">
        <f>B70</f>
        <v>828113.7560173417</v>
      </c>
      <c r="C76" s="1">
        <f aca="true" t="shared" si="16" ref="C76:H76">C70</f>
        <v>3371217.5777499974</v>
      </c>
      <c r="D76" s="1">
        <f t="shared" si="16"/>
        <v>3672748.4140626723</v>
      </c>
      <c r="E76" s="1">
        <f t="shared" si="16"/>
        <v>4172774.7226975355</v>
      </c>
      <c r="F76" s="1">
        <f t="shared" si="16"/>
        <v>4573852.254923637</v>
      </c>
      <c r="G76" s="1">
        <f t="shared" si="16"/>
        <v>4802971.476233032</v>
      </c>
      <c r="H76" s="1">
        <f t="shared" si="16"/>
        <v>4933858.717046617</v>
      </c>
    </row>
    <row r="77" spans="1:8" ht="12.75">
      <c r="A77" s="1" t="s">
        <v>180</v>
      </c>
      <c r="B77" s="1">
        <f aca="true" t="shared" si="17" ref="B77:H77">B116</f>
        <v>383745.5024069367</v>
      </c>
      <c r="C77" s="1">
        <f t="shared" si="17"/>
        <v>1400987.0310999989</v>
      </c>
      <c r="D77" s="1">
        <f t="shared" si="17"/>
        <v>1521599.3656250688</v>
      </c>
      <c r="E77" s="1">
        <f t="shared" si="17"/>
        <v>1721609.889079014</v>
      </c>
      <c r="F77" s="1">
        <f t="shared" si="17"/>
        <v>1882040.901969455</v>
      </c>
      <c r="G77" s="1">
        <f t="shared" si="17"/>
        <v>1973688.5904932127</v>
      </c>
      <c r="H77" s="1">
        <f t="shared" si="17"/>
        <v>2026043.4868186468</v>
      </c>
    </row>
    <row r="79" spans="1:8" ht="13.5" thickBot="1">
      <c r="A79" s="123" t="s">
        <v>181</v>
      </c>
      <c r="B79" s="123">
        <f>B76-B77</f>
        <v>444368.253610405</v>
      </c>
      <c r="C79" s="123">
        <f aca="true" t="shared" si="18" ref="C79:H79">C76-C77</f>
        <v>1970230.5466499985</v>
      </c>
      <c r="D79" s="123">
        <f t="shared" si="18"/>
        <v>2151149.0484376037</v>
      </c>
      <c r="E79" s="123">
        <f t="shared" si="18"/>
        <v>2451164.8336185217</v>
      </c>
      <c r="F79" s="123">
        <f t="shared" si="18"/>
        <v>2691811.352954182</v>
      </c>
      <c r="G79" s="123">
        <f t="shared" si="18"/>
        <v>2829282.885739819</v>
      </c>
      <c r="H79" s="123">
        <f t="shared" si="18"/>
        <v>2907815.2302279696</v>
      </c>
    </row>
    <row r="80" ht="13.5" thickTop="1"/>
    <row r="83" spans="1:8" ht="12.75">
      <c r="A83" s="191" t="s">
        <v>226</v>
      </c>
      <c r="B83" s="191"/>
      <c r="C83" s="191"/>
      <c r="D83" s="191"/>
      <c r="E83" s="191"/>
      <c r="F83" s="191"/>
      <c r="G83" s="191"/>
      <c r="H83" s="191"/>
    </row>
    <row r="84" spans="1:8" ht="12.75">
      <c r="A84" s="191" t="s">
        <v>185</v>
      </c>
      <c r="B84" s="191"/>
      <c r="C84" s="191"/>
      <c r="D84" s="191"/>
      <c r="E84" s="191"/>
      <c r="F84" s="191"/>
      <c r="G84" s="191"/>
      <c r="H84" s="191"/>
    </row>
    <row r="85" spans="1:8" ht="12.75">
      <c r="A85" s="1" t="s">
        <v>3</v>
      </c>
      <c r="B85" s="1" t="s">
        <v>84</v>
      </c>
      <c r="C85" s="1" t="s">
        <v>85</v>
      </c>
      <c r="D85" s="1" t="s">
        <v>86</v>
      </c>
      <c r="E85" s="1" t="s">
        <v>87</v>
      </c>
      <c r="F85" s="1" t="s">
        <v>88</v>
      </c>
      <c r="G85" s="1" t="s">
        <v>89</v>
      </c>
      <c r="H85" s="1" t="s">
        <v>90</v>
      </c>
    </row>
    <row r="86" spans="2:8" ht="12.75">
      <c r="B86" s="1" t="s">
        <v>92</v>
      </c>
      <c r="C86" s="1" t="s">
        <v>65</v>
      </c>
      <c r="D86" s="1" t="s">
        <v>93</v>
      </c>
      <c r="E86" s="1" t="s">
        <v>94</v>
      </c>
      <c r="F86" s="1" t="s">
        <v>66</v>
      </c>
      <c r="G86" s="1" t="s">
        <v>95</v>
      </c>
      <c r="H86" s="1" t="s">
        <v>96</v>
      </c>
    </row>
    <row r="87" ht="12.75">
      <c r="A87" s="1" t="s">
        <v>186</v>
      </c>
    </row>
    <row r="88" ht="12.75">
      <c r="A88" s="1" t="s">
        <v>187</v>
      </c>
    </row>
    <row r="89" ht="12.75">
      <c r="A89" s="1" t="s">
        <v>188</v>
      </c>
    </row>
    <row r="90" ht="12.75">
      <c r="A90" s="1" t="s">
        <v>189</v>
      </c>
    </row>
    <row r="91" ht="12.75">
      <c r="A91" s="1" t="s">
        <v>190</v>
      </c>
    </row>
    <row r="92" ht="12.75">
      <c r="A92" s="1" t="s">
        <v>9</v>
      </c>
    </row>
    <row r="95" ht="12.75">
      <c r="A95" s="1" t="s">
        <v>191</v>
      </c>
    </row>
    <row r="96" ht="12.75">
      <c r="A96" s="1" t="s">
        <v>192</v>
      </c>
    </row>
    <row r="97" ht="12.75">
      <c r="A97" s="1" t="s">
        <v>193</v>
      </c>
    </row>
    <row r="98" ht="12.75">
      <c r="A98" s="1" t="s">
        <v>9</v>
      </c>
    </row>
    <row r="107" ht="12.75">
      <c r="A107" s="1" t="s">
        <v>182</v>
      </c>
    </row>
    <row r="108" spans="1:8" ht="12.75">
      <c r="A108" s="1">
        <v>1</v>
      </c>
      <c r="B108" s="1">
        <f aca="true" t="shared" si="19" ref="B108:H108">B76-75000</f>
        <v>753113.7560173417</v>
      </c>
      <c r="C108" s="1">
        <f t="shared" si="19"/>
        <v>3296217.5777499974</v>
      </c>
      <c r="D108" s="1">
        <f t="shared" si="19"/>
        <v>3597748.4140626723</v>
      </c>
      <c r="E108" s="1">
        <f t="shared" si="19"/>
        <v>4097774.7226975355</v>
      </c>
      <c r="F108" s="1">
        <f t="shared" si="19"/>
        <v>4498852.254923637</v>
      </c>
      <c r="G108" s="1">
        <f t="shared" si="19"/>
        <v>4727971.476233032</v>
      </c>
      <c r="H108" s="1">
        <f t="shared" si="19"/>
        <v>4858858.717046617</v>
      </c>
    </row>
    <row r="109" spans="1:8" ht="12.75">
      <c r="A109" s="1">
        <v>2</v>
      </c>
      <c r="B109" s="1">
        <f>B108-75000</f>
        <v>678113.7560173417</v>
      </c>
      <c r="C109" s="1">
        <f aca="true" t="shared" si="20" ref="C109:H109">C108-75000</f>
        <v>3221217.5777499974</v>
      </c>
      <c r="D109" s="1">
        <f t="shared" si="20"/>
        <v>3522748.4140626723</v>
      </c>
      <c r="E109" s="1">
        <f t="shared" si="20"/>
        <v>4022774.7226975355</v>
      </c>
      <c r="F109" s="1">
        <f t="shared" si="20"/>
        <v>4423852.254923637</v>
      </c>
      <c r="G109" s="1">
        <f t="shared" si="20"/>
        <v>4652971.476233032</v>
      </c>
      <c r="H109" s="1">
        <f t="shared" si="20"/>
        <v>4783858.717046617</v>
      </c>
    </row>
    <row r="110" spans="1:8" ht="12.75">
      <c r="A110" s="1">
        <v>3</v>
      </c>
      <c r="B110" s="1">
        <f>B109</f>
        <v>678113.7560173417</v>
      </c>
      <c r="C110" s="1">
        <f aca="true" t="shared" si="21" ref="C110:H110">C109</f>
        <v>3221217.5777499974</v>
      </c>
      <c r="D110" s="1">
        <f t="shared" si="21"/>
        <v>3522748.4140626723</v>
      </c>
      <c r="E110" s="1">
        <f t="shared" si="21"/>
        <v>4022774.7226975355</v>
      </c>
      <c r="F110" s="1">
        <f t="shared" si="21"/>
        <v>4423852.254923637</v>
      </c>
      <c r="G110" s="1">
        <f t="shared" si="21"/>
        <v>4652971.476233032</v>
      </c>
      <c r="H110" s="1">
        <f t="shared" si="21"/>
        <v>4783858.717046617</v>
      </c>
    </row>
    <row r="112" spans="2:8" ht="12.75">
      <c r="B112" s="1">
        <f>75000*90/100</f>
        <v>67500</v>
      </c>
      <c r="C112" s="1">
        <f aca="true" t="shared" si="22" ref="C112:H112">75000*90/100</f>
        <v>67500</v>
      </c>
      <c r="D112" s="1">
        <f t="shared" si="22"/>
        <v>67500</v>
      </c>
      <c r="E112" s="1">
        <f t="shared" si="22"/>
        <v>67500</v>
      </c>
      <c r="F112" s="1">
        <f t="shared" si="22"/>
        <v>67500</v>
      </c>
      <c r="G112" s="1">
        <f t="shared" si="22"/>
        <v>67500</v>
      </c>
      <c r="H112" s="1">
        <f t="shared" si="22"/>
        <v>67500</v>
      </c>
    </row>
    <row r="113" spans="2:8" ht="12.75">
      <c r="B113" s="1">
        <f>75000*60/100</f>
        <v>45000</v>
      </c>
      <c r="C113" s="1">
        <f aca="true" t="shared" si="23" ref="C113:H113">75000*60/100</f>
        <v>45000</v>
      </c>
      <c r="D113" s="1">
        <f t="shared" si="23"/>
        <v>45000</v>
      </c>
      <c r="E113" s="1">
        <f t="shared" si="23"/>
        <v>45000</v>
      </c>
      <c r="F113" s="1">
        <f t="shared" si="23"/>
        <v>45000</v>
      </c>
      <c r="G113" s="1">
        <f t="shared" si="23"/>
        <v>45000</v>
      </c>
      <c r="H113" s="1">
        <f t="shared" si="23"/>
        <v>45000</v>
      </c>
    </row>
    <row r="114" spans="2:8" ht="12.75">
      <c r="B114" s="1">
        <f>B110*40/100</f>
        <v>271245.5024069367</v>
      </c>
      <c r="C114" s="1">
        <f aca="true" t="shared" si="24" ref="C114:H114">C110*40/100</f>
        <v>1288487.0310999989</v>
      </c>
      <c r="D114" s="1">
        <f t="shared" si="24"/>
        <v>1409099.3656250688</v>
      </c>
      <c r="E114" s="1">
        <f t="shared" si="24"/>
        <v>1609109.889079014</v>
      </c>
      <c r="F114" s="1">
        <f t="shared" si="24"/>
        <v>1769540.901969455</v>
      </c>
      <c r="G114" s="1">
        <f t="shared" si="24"/>
        <v>1861188.5904932127</v>
      </c>
      <c r="H114" s="1">
        <f t="shared" si="24"/>
        <v>1913543.4868186468</v>
      </c>
    </row>
    <row r="116" spans="1:8" ht="12.75">
      <c r="A116" s="1" t="s">
        <v>183</v>
      </c>
      <c r="B116" s="1">
        <f>SUM(B112:B115)</f>
        <v>383745.5024069367</v>
      </c>
      <c r="C116" s="1">
        <f aca="true" t="shared" si="25" ref="C116:H116">SUM(C112:C115)</f>
        <v>1400987.0310999989</v>
      </c>
      <c r="D116" s="1">
        <f t="shared" si="25"/>
        <v>1521599.3656250688</v>
      </c>
      <c r="E116" s="1">
        <f t="shared" si="25"/>
        <v>1721609.889079014</v>
      </c>
      <c r="F116" s="1">
        <f t="shared" si="25"/>
        <v>1882040.901969455</v>
      </c>
      <c r="G116" s="1">
        <f t="shared" si="25"/>
        <v>1973688.5904932127</v>
      </c>
      <c r="H116" s="1">
        <f t="shared" si="25"/>
        <v>2026043.4868186468</v>
      </c>
    </row>
    <row r="117" spans="1:8" ht="12.75">
      <c r="A117" s="1" t="s">
        <v>184</v>
      </c>
      <c r="B117" s="1">
        <f>B116/3</f>
        <v>127915.1674689789</v>
      </c>
      <c r="C117" s="1">
        <f aca="true" t="shared" si="26" ref="C117:H117">C116/3</f>
        <v>466995.67703333293</v>
      </c>
      <c r="D117" s="1">
        <f t="shared" si="26"/>
        <v>507199.7885416896</v>
      </c>
      <c r="E117" s="1">
        <f t="shared" si="26"/>
        <v>573869.963026338</v>
      </c>
      <c r="F117" s="1">
        <f t="shared" si="26"/>
        <v>627346.9673231516</v>
      </c>
      <c r="G117" s="1">
        <f t="shared" si="26"/>
        <v>657896.1968310709</v>
      </c>
      <c r="H117" s="1">
        <f t="shared" si="26"/>
        <v>675347.8289395489</v>
      </c>
    </row>
    <row r="126" ht="12.75">
      <c r="A126" s="179" t="s">
        <v>228</v>
      </c>
    </row>
  </sheetData>
  <mergeCells count="6">
    <mergeCell ref="A83:H83"/>
    <mergeCell ref="A84:H84"/>
    <mergeCell ref="A1:H1"/>
    <mergeCell ref="A2:H2"/>
    <mergeCell ref="A72:H72"/>
    <mergeCell ref="A73:H73"/>
  </mergeCells>
  <hyperlinks>
    <hyperlink ref="A126" r:id="rId1" display="www.cottonyarnmarket.net"/>
  </hyperlinks>
  <printOptions/>
  <pageMargins left="0.75" right="0.75" top="1" bottom="1" header="0.5" footer="0.5"/>
  <pageSetup horizontalDpi="600" verticalDpi="600" orientation="landscape" r:id="rId2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A43" sqref="A43"/>
    </sheetView>
  </sheetViews>
  <sheetFormatPr defaultColWidth="9.140625" defaultRowHeight="12.75"/>
  <cols>
    <col min="1" max="1" width="19.7109375" style="0" bestFit="1" customWidth="1"/>
    <col min="2" max="2" width="14.8515625" style="0" bestFit="1" customWidth="1"/>
    <col min="3" max="5" width="12.57421875" style="0" bestFit="1" customWidth="1"/>
    <col min="6" max="6" width="12.7109375" style="0" bestFit="1" customWidth="1"/>
    <col min="7" max="7" width="13.421875" style="0" bestFit="1" customWidth="1"/>
    <col min="8" max="8" width="12.7109375" style="0" bestFit="1" customWidth="1"/>
  </cols>
  <sheetData>
    <row r="1" spans="1:8" ht="15" customHeight="1">
      <c r="A1" s="192" t="s">
        <v>227</v>
      </c>
      <c r="B1" s="193"/>
      <c r="C1" s="193"/>
      <c r="D1" s="193"/>
      <c r="E1" s="193"/>
      <c r="F1" s="193"/>
      <c r="G1" s="193"/>
      <c r="H1" s="193"/>
    </row>
    <row r="2" spans="1:8" ht="15" customHeight="1">
      <c r="A2" s="194"/>
      <c r="B2" s="176"/>
      <c r="C2" s="176"/>
      <c r="D2" s="176"/>
      <c r="E2" s="176"/>
      <c r="F2" s="176"/>
      <c r="G2" s="176"/>
      <c r="H2" s="176"/>
    </row>
    <row r="3" spans="1:8" ht="15" customHeight="1">
      <c r="A3" s="177" t="s">
        <v>222</v>
      </c>
      <c r="B3" s="177"/>
      <c r="C3" s="177"/>
      <c r="D3" s="177"/>
      <c r="E3" s="177"/>
      <c r="F3" s="177"/>
      <c r="G3" s="177"/>
      <c r="H3" s="177"/>
    </row>
    <row r="5" spans="1:8" ht="12.75">
      <c r="A5" s="146" t="s">
        <v>194</v>
      </c>
      <c r="B5" s="121" t="s">
        <v>84</v>
      </c>
      <c r="C5" s="121" t="s">
        <v>85</v>
      </c>
      <c r="D5" s="121" t="s">
        <v>86</v>
      </c>
      <c r="E5" s="121" t="s">
        <v>87</v>
      </c>
      <c r="F5" s="121" t="s">
        <v>88</v>
      </c>
      <c r="G5" s="121" t="s">
        <v>89</v>
      </c>
      <c r="H5" s="121" t="s">
        <v>90</v>
      </c>
    </row>
    <row r="6" spans="1:8" ht="12.75">
      <c r="A6" s="121"/>
      <c r="B6" s="121" t="s">
        <v>92</v>
      </c>
      <c r="C6" s="121" t="s">
        <v>65</v>
      </c>
      <c r="D6" s="121" t="s">
        <v>93</v>
      </c>
      <c r="E6" s="121" t="s">
        <v>94</v>
      </c>
      <c r="F6" s="121" t="s">
        <v>66</v>
      </c>
      <c r="G6" s="121" t="s">
        <v>95</v>
      </c>
      <c r="H6" s="121" t="s">
        <v>96</v>
      </c>
    </row>
    <row r="8" spans="1:8" ht="12.75">
      <c r="A8" t="s">
        <v>195</v>
      </c>
      <c r="B8" s="104">
        <f>3279574-199626-116202</f>
        <v>2963746</v>
      </c>
      <c r="C8" s="142">
        <f>7296756+581923-169682+17485</f>
        <v>7726482</v>
      </c>
      <c r="D8" s="142">
        <f>10124641+922849-144230-3057</f>
        <v>10900203</v>
      </c>
      <c r="E8" s="142">
        <f>13308234+1310206-122595-156</f>
        <v>14495689</v>
      </c>
      <c r="F8" s="142">
        <f>16247127+1710720-104206-9</f>
        <v>17853632</v>
      </c>
      <c r="G8" s="142">
        <f>19425160+1963819-88575-1</f>
        <v>21300403</v>
      </c>
      <c r="H8" s="142">
        <f>21882726+2138295-75288</f>
        <v>23945733</v>
      </c>
    </row>
    <row r="9" spans="1:8" ht="12.75">
      <c r="A9" t="s">
        <v>210</v>
      </c>
      <c r="B9" s="141">
        <f>'REP SCH FOR U 4'!F18</f>
        <v>9642859</v>
      </c>
      <c r="C9" s="141">
        <f>'REP SCH FOR U 4'!F36</f>
        <v>8214295</v>
      </c>
      <c r="D9" s="141">
        <f>'REP SCH FOR U 4'!F53</f>
        <v>6785731</v>
      </c>
      <c r="E9" s="141">
        <f>'REP SCH FOR U 4'!F70</f>
        <v>5357167</v>
      </c>
      <c r="F9" s="141">
        <f>'REP SCH FOR U 4'!F87</f>
        <v>3928603</v>
      </c>
      <c r="G9" s="141">
        <f>'REP SCH FOR U 4'!F104</f>
        <v>2500039</v>
      </c>
      <c r="H9" s="141">
        <f>'REP SCH FOR U 4'!F121</f>
        <v>1071475</v>
      </c>
    </row>
    <row r="10" spans="1:8" ht="12.75">
      <c r="A10" t="s">
        <v>196</v>
      </c>
      <c r="B10" s="142">
        <v>5000000</v>
      </c>
      <c r="C10" s="142">
        <v>5000000</v>
      </c>
      <c r="D10" s="142">
        <v>5000000</v>
      </c>
      <c r="E10" s="142">
        <v>5000000</v>
      </c>
      <c r="F10" s="142">
        <v>5000000</v>
      </c>
      <c r="G10" s="142">
        <v>5000000</v>
      </c>
      <c r="H10" s="142">
        <v>5000000</v>
      </c>
    </row>
    <row r="11" spans="1:8" ht="12.75">
      <c r="A11" t="s">
        <v>197</v>
      </c>
      <c r="B11" s="142">
        <f>('profitability stm'!B31)*1/12</f>
        <v>6500000</v>
      </c>
      <c r="C11" s="142">
        <f>('profitability stm'!C31)*1/12</f>
        <v>7166250</v>
      </c>
      <c r="D11" s="142">
        <f>('profitability stm'!D31)*1/12</f>
        <v>8016645</v>
      </c>
      <c r="E11" s="142">
        <f>('profitability stm'!E31)*1/12</f>
        <v>8990358.4375</v>
      </c>
      <c r="F11" s="142">
        <f>('profitability stm'!F31)*1/12</f>
        <v>9610043.177083334</v>
      </c>
      <c r="G11" s="142">
        <f>('profitability stm'!G31)*1/12</f>
        <v>10503748.822916666</v>
      </c>
      <c r="H11" s="142">
        <f>('profitability stm'!H31)*1/12</f>
        <v>11170931.135546876</v>
      </c>
    </row>
    <row r="12" spans="1:8" ht="12.75">
      <c r="A12" t="s">
        <v>198</v>
      </c>
      <c r="B12" s="142">
        <v>500000</v>
      </c>
      <c r="C12" s="142">
        <v>700000</v>
      </c>
      <c r="D12" s="142">
        <v>900000</v>
      </c>
      <c r="E12" s="142">
        <v>1100000</v>
      </c>
      <c r="F12" s="142">
        <v>1300000</v>
      </c>
      <c r="G12" s="142">
        <v>1500000</v>
      </c>
      <c r="H12" s="142">
        <v>1700000</v>
      </c>
    </row>
    <row r="13" spans="2:8" ht="12.75">
      <c r="B13" s="142"/>
      <c r="C13" s="142"/>
      <c r="D13" s="142"/>
      <c r="E13" s="142"/>
      <c r="F13" s="142"/>
      <c r="G13" s="142"/>
      <c r="H13" s="142"/>
    </row>
    <row r="14" spans="1:8" ht="13.5" thickBot="1">
      <c r="A14" s="143" t="s">
        <v>9</v>
      </c>
      <c r="B14" s="144">
        <f aca="true" t="shared" si="0" ref="B14:H14">SUM(B8:B12)</f>
        <v>24606605</v>
      </c>
      <c r="C14" s="144">
        <f t="shared" si="0"/>
        <v>28807027</v>
      </c>
      <c r="D14" s="144">
        <f t="shared" si="0"/>
        <v>31602579</v>
      </c>
      <c r="E14" s="144">
        <f t="shared" si="0"/>
        <v>34943214.4375</v>
      </c>
      <c r="F14" s="144">
        <f t="shared" si="0"/>
        <v>37692278.177083336</v>
      </c>
      <c r="G14" s="144">
        <f t="shared" si="0"/>
        <v>40804190.822916664</v>
      </c>
      <c r="H14" s="144">
        <f t="shared" si="0"/>
        <v>42888139.13554688</v>
      </c>
    </row>
    <row r="15" spans="2:8" ht="13.5" thickTop="1">
      <c r="B15" s="142"/>
      <c r="C15" s="142"/>
      <c r="D15" s="142"/>
      <c r="E15" s="142"/>
      <c r="F15" s="142"/>
      <c r="G15" s="142"/>
      <c r="H15" s="142"/>
    </row>
    <row r="16" spans="1:8" ht="12.75">
      <c r="A16" s="106" t="s">
        <v>199</v>
      </c>
      <c r="B16" s="142"/>
      <c r="C16" s="142"/>
      <c r="D16" s="142"/>
      <c r="E16" s="142"/>
      <c r="F16" s="142"/>
      <c r="G16" s="142"/>
      <c r="H16" s="142"/>
    </row>
    <row r="17" spans="1:8" ht="12.75">
      <c r="A17" t="s">
        <v>200</v>
      </c>
      <c r="B17" s="142">
        <f>Dep!F12</f>
        <v>7784283.300000001</v>
      </c>
      <c r="C17" s="142">
        <f>Dep!F24</f>
        <v>6706640.805</v>
      </c>
      <c r="D17" s="142">
        <f>Dep!F35</f>
        <v>5790644.68425</v>
      </c>
      <c r="E17" s="142">
        <f>Dep!F46</f>
        <v>5012047.9816125</v>
      </c>
      <c r="F17" s="142">
        <f>Dep!F57</f>
        <v>4350240.784370625</v>
      </c>
      <c r="G17" s="142">
        <f>Dep!F68</f>
        <v>3787704.6667150315</v>
      </c>
      <c r="H17" s="142">
        <f>Dep!F79</f>
        <v>3309548.9667077768</v>
      </c>
    </row>
    <row r="18" spans="1:8" ht="12.75">
      <c r="A18" t="s">
        <v>201</v>
      </c>
      <c r="B18" s="142"/>
      <c r="C18" s="142"/>
      <c r="D18" s="142"/>
      <c r="E18" s="142"/>
      <c r="F18" s="142"/>
      <c r="G18" s="142"/>
      <c r="H18" s="142"/>
    </row>
    <row r="19" spans="1:8" ht="12.75">
      <c r="A19" s="2" t="s">
        <v>202</v>
      </c>
      <c r="B19" s="142"/>
      <c r="C19" s="142"/>
      <c r="D19" s="142"/>
      <c r="E19" s="142"/>
      <c r="F19" s="142"/>
      <c r="G19" s="142"/>
      <c r="H19" s="142"/>
    </row>
    <row r="20" spans="1:8" ht="12.75">
      <c r="A20" t="s">
        <v>203</v>
      </c>
      <c r="B20" s="142">
        <v>25000</v>
      </c>
      <c r="C20" s="142">
        <v>25000</v>
      </c>
      <c r="D20" s="142">
        <v>25000</v>
      </c>
      <c r="E20" s="142">
        <v>25000</v>
      </c>
      <c r="F20" s="142">
        <v>25000</v>
      </c>
      <c r="G20" s="142">
        <v>25000</v>
      </c>
      <c r="H20" s="142">
        <v>25000</v>
      </c>
    </row>
    <row r="21" spans="1:8" ht="12.75">
      <c r="A21" t="s">
        <v>204</v>
      </c>
      <c r="B21" s="142">
        <v>30000</v>
      </c>
      <c r="C21" s="142">
        <v>30000</v>
      </c>
      <c r="D21" s="142">
        <v>30000</v>
      </c>
      <c r="E21" s="142">
        <v>30000</v>
      </c>
      <c r="F21" s="142">
        <v>30000</v>
      </c>
      <c r="G21" s="142">
        <v>30000</v>
      </c>
      <c r="H21" s="142">
        <v>30000</v>
      </c>
    </row>
    <row r="22" spans="1:8" ht="12.75">
      <c r="A22" s="2" t="s">
        <v>71</v>
      </c>
      <c r="B22" s="142"/>
      <c r="C22" s="142"/>
      <c r="D22" s="142"/>
      <c r="E22" s="142"/>
      <c r="F22" s="142"/>
      <c r="G22" s="142"/>
      <c r="H22" s="142"/>
    </row>
    <row r="23" spans="1:8" ht="12.75">
      <c r="A23" t="s">
        <v>211</v>
      </c>
      <c r="B23" s="142">
        <f>'profitability stm'!B19</f>
        <v>2600000</v>
      </c>
      <c r="C23" s="142">
        <f>'profitability stm'!C19</f>
        <v>3003000</v>
      </c>
      <c r="D23" s="142">
        <f>'profitability stm'!D19</f>
        <v>3869775</v>
      </c>
      <c r="E23" s="142">
        <f>'profitability stm'!E19</f>
        <v>4664453.75</v>
      </c>
      <c r="F23" s="142">
        <f>'profitability stm'!F19</f>
        <v>5529065.9375</v>
      </c>
      <c r="G23" s="142">
        <f>'profitability stm'!G19</f>
        <v>6633946.625</v>
      </c>
      <c r="H23" s="142">
        <f>'profitability stm'!H19</f>
        <v>6963697.331250001</v>
      </c>
    </row>
    <row r="24" spans="1:8" ht="12.75">
      <c r="A24" t="s">
        <v>4</v>
      </c>
      <c r="B24" s="142">
        <f>'profitability stm'!B20</f>
        <v>3135907.3620412387</v>
      </c>
      <c r="C24" s="142">
        <f>'profitability stm'!C20</f>
        <v>4587406.625725811</v>
      </c>
      <c r="D24" s="142">
        <f>'profitability stm'!D20</f>
        <v>5715920.421870458</v>
      </c>
      <c r="E24" s="142">
        <f>'profitability stm'!E20</f>
        <v>7175570.612365364</v>
      </c>
      <c r="F24" s="142">
        <f>'profitability stm'!F20</f>
        <v>8360920.047253021</v>
      </c>
      <c r="G24" s="142">
        <f>'profitability stm'!G20</f>
        <v>9196883.738368826</v>
      </c>
      <c r="H24" s="142">
        <f>'profitability stm'!H20</f>
        <v>10092357.996672137</v>
      </c>
    </row>
    <row r="25" spans="1:8" ht="12.75">
      <c r="A25" t="s">
        <v>5</v>
      </c>
      <c r="B25" s="142">
        <f>'profitability stm'!B21</f>
        <v>483929.2215583537</v>
      </c>
      <c r="C25" s="142">
        <f>'profitability stm'!C21</f>
        <v>659983.0608218939</v>
      </c>
      <c r="D25" s="142">
        <f>'profitability stm'!D21</f>
        <v>952811.0991623235</v>
      </c>
      <c r="E25" s="142">
        <f>'profitability stm'!E21</f>
        <v>1044088.3803941258</v>
      </c>
      <c r="F25" s="142">
        <f>'profitability stm'!F21</f>
        <v>1202794.6494657549</v>
      </c>
      <c r="G25" s="142">
        <f>'profitability stm'!G21</f>
        <v>1453344.923330168</v>
      </c>
      <c r="H25" s="142">
        <f>'profitability stm'!H21</f>
        <v>1613154.7597699</v>
      </c>
    </row>
    <row r="26" spans="1:8" ht="12.75">
      <c r="A26" t="s">
        <v>205</v>
      </c>
      <c r="B26" s="142">
        <f>('profitability stm'!B15+'profitability stm'!B16)*1.5/12</f>
        <v>10034490</v>
      </c>
      <c r="C26" s="142">
        <f>('profitability stm'!C15+'profitability stm'!C16)*1.5/12</f>
        <v>12010640.25</v>
      </c>
      <c r="D26" s="142">
        <f>('profitability stm'!D15+'profitability stm'!D16)*1.5/12</f>
        <v>13283328.7125</v>
      </c>
      <c r="E26" s="142">
        <f>('profitability stm'!E15+'profitability stm'!E16)*1.5/12</f>
        <v>14806979.012578124</v>
      </c>
      <c r="F26" s="142">
        <f>('profitability stm'!F15+'profitability stm'!F16)*1.5/12</f>
        <v>15808674.124872265</v>
      </c>
      <c r="G26" s="142">
        <f>('profitability stm'!G15+'profitability stm'!G16)*1.5/12</f>
        <v>17177185.461039625</v>
      </c>
      <c r="H26" s="142">
        <f>('profitability stm'!H15+'profitability stm'!H16)*1.5/12</f>
        <v>18288820.3691261</v>
      </c>
    </row>
    <row r="27" spans="1:8" ht="12.75">
      <c r="A27" s="2" t="s">
        <v>206</v>
      </c>
      <c r="B27" s="142"/>
      <c r="C27" s="142"/>
      <c r="D27" s="142"/>
      <c r="E27" s="142"/>
      <c r="F27" s="142"/>
      <c r="G27" s="142"/>
      <c r="H27" s="142"/>
    </row>
    <row r="28" spans="1:8" ht="12.75">
      <c r="A28" t="s">
        <v>207</v>
      </c>
      <c r="B28" s="142">
        <f>'profitability stm'!B68</f>
        <v>413994.77258224087</v>
      </c>
      <c r="C28" s="142">
        <f>'profitability stm'!C68</f>
        <v>1685355.9601981014</v>
      </c>
      <c r="D28" s="142">
        <f>'profitability stm'!D68</f>
        <v>1836098.7646723993</v>
      </c>
      <c r="E28" s="142">
        <f>'profitability stm'!E68</f>
        <v>2086074.418891688</v>
      </c>
      <c r="F28" s="142">
        <f>'profitability stm'!F68</f>
        <v>2286583.1056937873</v>
      </c>
      <c r="G28" s="142">
        <f>'profitability stm'!G68</f>
        <v>2401125.533266041</v>
      </c>
      <c r="H28" s="142">
        <f>'profitability stm'!H68</f>
        <v>2466559.337620575</v>
      </c>
    </row>
    <row r="29" spans="1:8" ht="12.75">
      <c r="A29" t="s">
        <v>208</v>
      </c>
      <c r="B29" s="141">
        <v>99000</v>
      </c>
      <c r="C29" s="141">
        <v>99000</v>
      </c>
      <c r="D29" s="141">
        <v>99000</v>
      </c>
      <c r="E29" s="141">
        <v>99000</v>
      </c>
      <c r="F29" s="141">
        <v>99000</v>
      </c>
      <c r="G29" s="141">
        <v>99000</v>
      </c>
      <c r="H29" s="141">
        <v>99000</v>
      </c>
    </row>
    <row r="30" ht="12.75">
      <c r="A30" t="s">
        <v>209</v>
      </c>
    </row>
    <row r="32" spans="1:8" ht="13.5" thickBot="1">
      <c r="A32" s="143" t="s">
        <v>9</v>
      </c>
      <c r="B32" s="145">
        <f aca="true" t="shared" si="1" ref="B32:H32">SUM(B17:B30)</f>
        <v>24606604.656181835</v>
      </c>
      <c r="C32" s="145">
        <f t="shared" si="1"/>
        <v>28807026.701745804</v>
      </c>
      <c r="D32" s="145">
        <f t="shared" si="1"/>
        <v>31602578.682455182</v>
      </c>
      <c r="E32" s="145">
        <f t="shared" si="1"/>
        <v>34943214.155841805</v>
      </c>
      <c r="F32" s="145">
        <f t="shared" si="1"/>
        <v>37692278.64915545</v>
      </c>
      <c r="G32" s="145">
        <f t="shared" si="1"/>
        <v>40804190.94771969</v>
      </c>
      <c r="H32" s="145">
        <f t="shared" si="1"/>
        <v>42888138.761146486</v>
      </c>
    </row>
    <row r="33" ht="13.5" thickTop="1"/>
    <row r="35" spans="1:8" ht="12.75">
      <c r="A35" t="s">
        <v>212</v>
      </c>
      <c r="B35" s="141">
        <f>B14-B32</f>
        <v>0.34381816536188126</v>
      </c>
      <c r="C35" s="141">
        <f aca="true" t="shared" si="2" ref="C35:H35">C14-C32</f>
        <v>0.29825419560074806</v>
      </c>
      <c r="D35" s="141">
        <f t="shared" si="2"/>
        <v>0.3175448179244995</v>
      </c>
      <c r="E35" s="141">
        <f t="shared" si="2"/>
        <v>0.28165819495916367</v>
      </c>
      <c r="F35" s="141">
        <f t="shared" si="2"/>
        <v>-0.4720721170306206</v>
      </c>
      <c r="G35" s="141">
        <f t="shared" si="2"/>
        <v>-0.12480302900075912</v>
      </c>
      <c r="H35" s="141">
        <f t="shared" si="2"/>
        <v>0.37440039217472076</v>
      </c>
    </row>
    <row r="43" ht="12.75">
      <c r="A43" s="179" t="s">
        <v>228</v>
      </c>
    </row>
  </sheetData>
  <mergeCells count="3">
    <mergeCell ref="A1:H1"/>
    <mergeCell ref="A2:H2"/>
    <mergeCell ref="A3:H3"/>
  </mergeCells>
  <hyperlinks>
    <hyperlink ref="A43" r:id="rId1" display="www.cottonyarnmarket.net"/>
  </hyperlinks>
  <printOptions/>
  <pageMargins left="0.75" right="0.75" top="1" bottom="1" header="0.5" footer="0.5"/>
  <pageSetup horizontalDpi="600" verticalDpi="600" orientation="landscape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6"/>
  <sheetViews>
    <sheetView workbookViewId="0" topLeftCell="A136">
      <selection activeCell="A156" sqref="A156"/>
    </sheetView>
  </sheetViews>
  <sheetFormatPr defaultColWidth="9.140625" defaultRowHeight="12.75"/>
  <cols>
    <col min="1" max="1" width="35.8515625" style="0" bestFit="1" customWidth="1"/>
    <col min="2" max="4" width="14.00390625" style="0" bestFit="1" customWidth="1"/>
    <col min="5" max="5" width="12.8515625" style="0" bestFit="1" customWidth="1"/>
    <col min="6" max="6" width="9.28125" style="0" bestFit="1" customWidth="1"/>
    <col min="7" max="7" width="12.8515625" style="0" bestFit="1" customWidth="1"/>
    <col min="9" max="9" width="9.28125" style="0" bestFit="1" customWidth="1"/>
    <col min="10" max="10" width="12.8515625" style="0" bestFit="1" customWidth="1"/>
    <col min="13" max="13" width="12.8515625" style="0" bestFit="1" customWidth="1"/>
  </cols>
  <sheetData>
    <row r="1" ht="12.75">
      <c r="A1" s="2" t="s">
        <v>224</v>
      </c>
    </row>
    <row r="3" ht="12.75">
      <c r="A3" s="103" t="s">
        <v>99</v>
      </c>
    </row>
    <row r="4" spans="2:22" ht="12.75">
      <c r="B4" s="178" t="s">
        <v>92</v>
      </c>
      <c r="C4" s="178"/>
      <c r="D4" s="178"/>
      <c r="E4" s="178" t="s">
        <v>65</v>
      </c>
      <c r="F4" s="178"/>
      <c r="G4" s="178"/>
      <c r="H4" s="178" t="s">
        <v>93</v>
      </c>
      <c r="I4" s="178"/>
      <c r="J4" s="178"/>
      <c r="K4" s="178"/>
      <c r="L4" s="178"/>
      <c r="M4" s="106"/>
      <c r="N4" s="178"/>
      <c r="O4" s="178"/>
      <c r="P4" s="106"/>
      <c r="Q4" s="178"/>
      <c r="R4" s="178"/>
      <c r="S4" s="106"/>
      <c r="T4" s="178"/>
      <c r="U4" s="178"/>
      <c r="V4" s="2"/>
    </row>
    <row r="5" spans="1:22" ht="12.75">
      <c r="A5" t="s">
        <v>2</v>
      </c>
      <c r="B5" s="2" t="s">
        <v>104</v>
      </c>
      <c r="C5" s="2" t="s">
        <v>105</v>
      </c>
      <c r="D5" s="2" t="s">
        <v>9</v>
      </c>
      <c r="E5" s="2" t="s">
        <v>104</v>
      </c>
      <c r="F5" s="2" t="s">
        <v>105</v>
      </c>
      <c r="G5" s="2" t="s">
        <v>9</v>
      </c>
      <c r="H5" s="2" t="s">
        <v>104</v>
      </c>
      <c r="I5" s="2" t="s">
        <v>105</v>
      </c>
      <c r="J5" s="2" t="s">
        <v>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10" ht="12.75">
      <c r="A6" t="s">
        <v>100</v>
      </c>
      <c r="E6">
        <f>B9</f>
        <v>1000</v>
      </c>
      <c r="F6">
        <f>C9</f>
        <v>2600</v>
      </c>
      <c r="G6">
        <f>E6*F6</f>
        <v>2600000</v>
      </c>
      <c r="H6">
        <f>E9</f>
        <v>1100</v>
      </c>
      <c r="I6">
        <f>F9</f>
        <v>2730</v>
      </c>
      <c r="J6">
        <f>H6*I6</f>
        <v>3003000</v>
      </c>
    </row>
    <row r="7" spans="1:10" ht="12.75">
      <c r="A7" s="105" t="s">
        <v>107</v>
      </c>
      <c r="B7" s="1">
        <f>'Quantitative Statement'!C5</f>
        <v>30000</v>
      </c>
      <c r="C7">
        <v>2600</v>
      </c>
      <c r="D7" s="104">
        <f>B7*C7</f>
        <v>78000000</v>
      </c>
      <c r="E7">
        <f>'Quantitative Statement'!C13</f>
        <v>31500</v>
      </c>
      <c r="F7">
        <f>F6*5/100+2600</f>
        <v>2730</v>
      </c>
      <c r="G7">
        <f>E7*F7</f>
        <v>85995000</v>
      </c>
      <c r="H7">
        <f>'Quantitative Statement'!C21</f>
        <v>33560</v>
      </c>
      <c r="I7">
        <f>I6*5/100+2730</f>
        <v>2866.5</v>
      </c>
      <c r="J7">
        <f>H7*I7</f>
        <v>96199740</v>
      </c>
    </row>
    <row r="8" ht="12.75">
      <c r="D8" s="104"/>
    </row>
    <row r="9" spans="1:10" ht="12.75">
      <c r="A9" t="s">
        <v>116</v>
      </c>
      <c r="B9">
        <v>1000</v>
      </c>
      <c r="C9">
        <v>2600</v>
      </c>
      <c r="D9" s="102">
        <v>2600000</v>
      </c>
      <c r="E9">
        <f>'Quantitative Statement'!C15</f>
        <v>1100</v>
      </c>
      <c r="F9">
        <f>F7</f>
        <v>2730</v>
      </c>
      <c r="G9">
        <f>E9*F9</f>
        <v>3003000</v>
      </c>
      <c r="H9">
        <f>'Quantitative Statement'!C23</f>
        <v>1350</v>
      </c>
      <c r="I9">
        <f>I7</f>
        <v>2866.5</v>
      </c>
      <c r="J9">
        <f>H9*I9</f>
        <v>3869775</v>
      </c>
    </row>
    <row r="10" spans="1:10" ht="12.75">
      <c r="A10" t="s">
        <v>120</v>
      </c>
      <c r="B10" s="1">
        <f>B7-B9</f>
        <v>29000</v>
      </c>
      <c r="D10" s="102">
        <f>D7-D9</f>
        <v>75400000</v>
      </c>
      <c r="E10">
        <f>'Quantitative Statement'!C16</f>
        <v>31400</v>
      </c>
      <c r="G10">
        <f>G6+G7-G9</f>
        <v>85592000</v>
      </c>
      <c r="H10">
        <f>'Quantitative Statement'!C24</f>
        <v>33310</v>
      </c>
      <c r="J10">
        <f>J6+J7-J9</f>
        <v>95332965</v>
      </c>
    </row>
    <row r="11" spans="1:4" ht="12.75">
      <c r="A11" t="s">
        <v>119</v>
      </c>
      <c r="D11" s="102"/>
    </row>
    <row r="12" spans="1:10" ht="12.75">
      <c r="A12" t="s">
        <v>102</v>
      </c>
      <c r="D12" s="102">
        <f>'profitability stm'!B35</f>
        <v>400000</v>
      </c>
      <c r="G12" s="102">
        <f>D12*5/100+400000</f>
        <v>420000</v>
      </c>
      <c r="J12" s="102">
        <f>G12*5/100+420000</f>
        <v>441000</v>
      </c>
    </row>
    <row r="13" spans="1:10" ht="12.75">
      <c r="A13" t="s">
        <v>103</v>
      </c>
      <c r="D13" s="102">
        <f>'profitability stm'!B34</f>
        <v>500000</v>
      </c>
      <c r="G13" s="102">
        <f>D13*5/100+500000</f>
        <v>525000</v>
      </c>
      <c r="J13" s="102">
        <f>G13*5/100+525000</f>
        <v>551250</v>
      </c>
    </row>
    <row r="14" spans="1:10" ht="12.75">
      <c r="A14" t="s">
        <v>101</v>
      </c>
      <c r="D14" s="102">
        <f>'profitability stm'!B33</f>
        <v>800000</v>
      </c>
      <c r="G14" s="102">
        <f>D14*5/100+800000</f>
        <v>840000</v>
      </c>
      <c r="J14" s="102">
        <f>G14*5/100+840000</f>
        <v>882000</v>
      </c>
    </row>
    <row r="15" spans="1:10" ht="12.75">
      <c r="A15" t="s">
        <v>121</v>
      </c>
      <c r="B15">
        <v>29000</v>
      </c>
      <c r="C15" s="102">
        <f>D15/B15</f>
        <v>2658.6206896551726</v>
      </c>
      <c r="D15" s="102">
        <f>SUM(D10:D14)</f>
        <v>77100000</v>
      </c>
      <c r="E15">
        <f>E10</f>
        <v>31400</v>
      </c>
      <c r="F15">
        <f>G15/E15</f>
        <v>2782.707006369427</v>
      </c>
      <c r="G15">
        <f>SUM(G10:G14)</f>
        <v>87377000</v>
      </c>
      <c r="H15">
        <f>H10</f>
        <v>33310</v>
      </c>
      <c r="J15">
        <f>SUM(J10:J14)</f>
        <v>97207215</v>
      </c>
    </row>
    <row r="16" spans="1:8" ht="12.75">
      <c r="A16" t="s">
        <v>117</v>
      </c>
      <c r="B16">
        <f>B15*33/100</f>
        <v>9570</v>
      </c>
      <c r="D16" s="104">
        <f>B16*C16</f>
        <v>0</v>
      </c>
      <c r="E16">
        <f>E15*33/100</f>
        <v>10362</v>
      </c>
      <c r="H16">
        <f>H15*33/100</f>
        <v>10992.3</v>
      </c>
    </row>
    <row r="17" spans="1:8" ht="12.75">
      <c r="A17" t="s">
        <v>118</v>
      </c>
      <c r="B17">
        <f>B15*65.6/100</f>
        <v>19023.999999999996</v>
      </c>
      <c r="D17" s="104">
        <f>B17*C17</f>
        <v>0</v>
      </c>
      <c r="E17">
        <f>E15*65.6/100</f>
        <v>20598.399999999998</v>
      </c>
      <c r="H17">
        <f>H15*65.6/100</f>
        <v>21851.36</v>
      </c>
    </row>
    <row r="18" spans="2:22" ht="12.75">
      <c r="B18" s="178" t="s">
        <v>92</v>
      </c>
      <c r="C18" s="178"/>
      <c r="D18" s="106"/>
      <c r="E18" s="178" t="s">
        <v>65</v>
      </c>
      <c r="F18" s="178"/>
      <c r="G18" s="106"/>
      <c r="H18" s="178" t="s">
        <v>93</v>
      </c>
      <c r="I18" s="178"/>
      <c r="J18" s="106"/>
      <c r="K18" s="178"/>
      <c r="L18" s="178"/>
      <c r="M18" s="106"/>
      <c r="N18" s="178"/>
      <c r="O18" s="178"/>
      <c r="P18" s="106"/>
      <c r="Q18" s="178"/>
      <c r="R18" s="178"/>
      <c r="S18" s="106"/>
      <c r="T18" s="178"/>
      <c r="U18" s="178"/>
      <c r="V18" s="2"/>
    </row>
    <row r="19" spans="1:22" ht="12.75">
      <c r="A19" t="s">
        <v>4</v>
      </c>
      <c r="B19" s="2" t="s">
        <v>104</v>
      </c>
      <c r="C19" s="2" t="s">
        <v>105</v>
      </c>
      <c r="D19" s="2" t="s">
        <v>9</v>
      </c>
      <c r="E19" s="2" t="s">
        <v>104</v>
      </c>
      <c r="F19" s="2" t="s">
        <v>105</v>
      </c>
      <c r="G19" s="2" t="s">
        <v>9</v>
      </c>
      <c r="H19" s="2" t="s">
        <v>104</v>
      </c>
      <c r="I19" s="2" t="s">
        <v>105</v>
      </c>
      <c r="J19" s="2" t="s">
        <v>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10" ht="12.75">
      <c r="A20" t="s">
        <v>100</v>
      </c>
      <c r="B20" t="s">
        <v>15</v>
      </c>
      <c r="E20" s="1">
        <f>B23</f>
        <v>450</v>
      </c>
      <c r="F20" s="102">
        <f>C23</f>
        <v>6968.683026758308</v>
      </c>
      <c r="G20" s="102">
        <f>E20*F20</f>
        <v>3135907.3620412387</v>
      </c>
      <c r="H20" s="1">
        <f>E23</f>
        <v>630</v>
      </c>
      <c r="I20" s="102">
        <f>F23</f>
        <v>7281.597818612398</v>
      </c>
      <c r="J20" s="102">
        <f>G23</f>
        <v>4587406.625725811</v>
      </c>
    </row>
    <row r="21" spans="1:8" ht="12.75">
      <c r="A21" s="105" t="s">
        <v>122</v>
      </c>
      <c r="B21">
        <f>B16</f>
        <v>9570</v>
      </c>
      <c r="D21">
        <f>B21*C21</f>
        <v>0</v>
      </c>
      <c r="E21">
        <f>E16</f>
        <v>10362</v>
      </c>
      <c r="H21">
        <f>H16</f>
        <v>10992.3</v>
      </c>
    </row>
    <row r="22" spans="1:10" ht="12.75">
      <c r="A22" t="s">
        <v>111</v>
      </c>
      <c r="B22" s="1">
        <f>'Quantitative Statement'!E7</f>
        <v>9120</v>
      </c>
      <c r="C22">
        <v>6650</v>
      </c>
      <c r="D22">
        <f>B22*C22</f>
        <v>60648000</v>
      </c>
      <c r="E22" s="1">
        <f>'Quantitative Statement'!E15</f>
        <v>10182</v>
      </c>
      <c r="F22">
        <v>7175</v>
      </c>
      <c r="G22">
        <f>E22*F22</f>
        <v>73055850</v>
      </c>
      <c r="H22" s="1">
        <f>'Quantitative Statement'!E23</f>
        <v>10872</v>
      </c>
      <c r="I22">
        <f>F22*3.5/100+F22</f>
        <v>7426.125</v>
      </c>
      <c r="J22">
        <f>H22*I22</f>
        <v>80736831</v>
      </c>
    </row>
    <row r="23" spans="1:10" ht="12.75">
      <c r="A23" t="s">
        <v>71</v>
      </c>
      <c r="B23" s="1">
        <f>B21-B22</f>
        <v>450</v>
      </c>
      <c r="C23" s="102">
        <f>D75</f>
        <v>6968.683026758308</v>
      </c>
      <c r="D23" s="113">
        <f>B23*C23</f>
        <v>3135907.3620412387</v>
      </c>
      <c r="E23" s="1">
        <f>'Quantitative Statement'!E16</f>
        <v>630</v>
      </c>
      <c r="F23" s="102">
        <f>D85</f>
        <v>7281.597818612398</v>
      </c>
      <c r="G23" s="102">
        <f>E23*F23</f>
        <v>4587406.625725811</v>
      </c>
      <c r="H23">
        <f>'Quantitative Statement'!E24</f>
        <v>750</v>
      </c>
      <c r="I23" s="113">
        <f>D95</f>
        <v>7621.2272291606105</v>
      </c>
      <c r="J23" s="113">
        <f>H23*I23</f>
        <v>5715920.421870458</v>
      </c>
    </row>
    <row r="26" spans="2:22" ht="12.75">
      <c r="B26" s="178" t="s">
        <v>92</v>
      </c>
      <c r="C26" s="178"/>
      <c r="D26" s="106"/>
      <c r="E26" s="178" t="s">
        <v>65</v>
      </c>
      <c r="F26" s="178"/>
      <c r="G26" s="106"/>
      <c r="H26" s="178" t="s">
        <v>93</v>
      </c>
      <c r="I26" s="178"/>
      <c r="J26" s="106"/>
      <c r="K26" s="178"/>
      <c r="L26" s="178"/>
      <c r="M26" s="106"/>
      <c r="N26" s="178"/>
      <c r="O26" s="178"/>
      <c r="P26" s="106"/>
      <c r="Q26" s="178"/>
      <c r="R26" s="178"/>
      <c r="S26" s="106"/>
      <c r="T26" s="178"/>
      <c r="U26" s="178"/>
      <c r="V26" s="2"/>
    </row>
    <row r="27" spans="1:22" ht="12.75">
      <c r="A27" t="s">
        <v>5</v>
      </c>
      <c r="B27" s="2" t="s">
        <v>104</v>
      </c>
      <c r="C27" s="2" t="s">
        <v>105</v>
      </c>
      <c r="D27" s="2" t="s">
        <v>9</v>
      </c>
      <c r="E27" s="2" t="s">
        <v>104</v>
      </c>
      <c r="F27" s="2" t="s">
        <v>105</v>
      </c>
      <c r="G27" s="2" t="s">
        <v>9</v>
      </c>
      <c r="H27" s="2" t="s">
        <v>104</v>
      </c>
      <c r="I27" s="2" t="s">
        <v>105</v>
      </c>
      <c r="J27" s="2" t="s">
        <v>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10" ht="12.75">
      <c r="A28" t="s">
        <v>100</v>
      </c>
      <c r="B28" t="s">
        <v>15</v>
      </c>
      <c r="E28" s="1">
        <f>B31</f>
        <v>850</v>
      </c>
      <c r="F28" s="102">
        <f>C31</f>
        <v>569.3284959510044</v>
      </c>
      <c r="G28" s="102">
        <f>E28*F28</f>
        <v>483929.2215583537</v>
      </c>
      <c r="H28">
        <f>E31</f>
        <v>1140</v>
      </c>
      <c r="I28" s="113">
        <f>F31</f>
        <v>578.9325094928894</v>
      </c>
      <c r="J28" s="113">
        <f>G31</f>
        <v>659983.0608218939</v>
      </c>
    </row>
    <row r="29" spans="1:8" ht="12.75">
      <c r="A29" s="105" t="s">
        <v>122</v>
      </c>
      <c r="B29">
        <f>B17</f>
        <v>19023.999999999996</v>
      </c>
      <c r="D29">
        <f>B29*C29</f>
        <v>0</v>
      </c>
      <c r="E29">
        <f>E17</f>
        <v>20598.399999999998</v>
      </c>
      <c r="H29">
        <f>H17</f>
        <v>21851.36</v>
      </c>
    </row>
    <row r="30" spans="1:10" ht="12.75">
      <c r="A30" t="s">
        <v>111</v>
      </c>
      <c r="B30" s="1">
        <f>'Quantitative Statement'!G7</f>
        <v>18173.999999999996</v>
      </c>
      <c r="C30">
        <v>1080</v>
      </c>
      <c r="D30">
        <f>B30*C30</f>
        <v>19627919.999999996</v>
      </c>
      <c r="E30" s="1">
        <f>'Quantitative Statement'!G15</f>
        <v>20308</v>
      </c>
      <c r="F30">
        <f>C30*5/100+1080</f>
        <v>1134</v>
      </c>
      <c r="G30">
        <f>E30*F30</f>
        <v>23029272</v>
      </c>
      <c r="H30" s="1">
        <f>'Quantitative Statement'!G23</f>
        <v>21441</v>
      </c>
      <c r="I30">
        <f>F30*5/100+1134</f>
        <v>1190.7</v>
      </c>
      <c r="J30">
        <f>H30*I30</f>
        <v>25529798.7</v>
      </c>
    </row>
    <row r="31" spans="1:10" ht="12.75">
      <c r="A31" t="s">
        <v>71</v>
      </c>
      <c r="B31" s="1">
        <f>B29-B30</f>
        <v>850</v>
      </c>
      <c r="C31" s="102">
        <f>D76</f>
        <v>569.3284959510044</v>
      </c>
      <c r="D31" s="102">
        <f>B31*C31</f>
        <v>483929.2215583537</v>
      </c>
      <c r="E31">
        <f>'Quantitative Statement'!G16</f>
        <v>1140</v>
      </c>
      <c r="F31" s="113">
        <f>D86</f>
        <v>578.9325094928894</v>
      </c>
      <c r="G31">
        <f>E31*F31</f>
        <v>659983.0608218939</v>
      </c>
      <c r="H31">
        <f>'Quantitative Statement'!G24</f>
        <v>1550</v>
      </c>
      <c r="I31" s="113">
        <f>D96</f>
        <v>614.716838169241</v>
      </c>
      <c r="J31" s="113">
        <f>H31*I31</f>
        <v>952811.0991623235</v>
      </c>
    </row>
    <row r="37" ht="12.75">
      <c r="A37" s="103" t="s">
        <v>99</v>
      </c>
    </row>
    <row r="38" spans="2:13" ht="12.75">
      <c r="B38" s="178" t="s">
        <v>94</v>
      </c>
      <c r="C38" s="178"/>
      <c r="D38" s="106"/>
      <c r="E38" s="178" t="s">
        <v>19</v>
      </c>
      <c r="F38" s="178"/>
      <c r="G38" s="106"/>
      <c r="H38" s="178" t="s">
        <v>20</v>
      </c>
      <c r="I38" s="178"/>
      <c r="J38" s="106"/>
      <c r="K38" s="178" t="s">
        <v>21</v>
      </c>
      <c r="L38" s="178"/>
      <c r="M38" s="2"/>
    </row>
    <row r="39" spans="1:13" ht="12.75">
      <c r="A39" t="s">
        <v>2</v>
      </c>
      <c r="B39" s="2" t="s">
        <v>104</v>
      </c>
      <c r="C39" s="2" t="s">
        <v>105</v>
      </c>
      <c r="D39" s="2" t="s">
        <v>9</v>
      </c>
      <c r="E39" s="2" t="s">
        <v>104</v>
      </c>
      <c r="F39" s="2" t="s">
        <v>105</v>
      </c>
      <c r="G39" s="2" t="s">
        <v>9</v>
      </c>
      <c r="H39" s="2" t="s">
        <v>104</v>
      </c>
      <c r="I39" s="2" t="s">
        <v>105</v>
      </c>
      <c r="J39" s="2" t="s">
        <v>9</v>
      </c>
      <c r="K39" s="2" t="s">
        <v>104</v>
      </c>
      <c r="L39" s="2" t="s">
        <v>105</v>
      </c>
      <c r="M39" s="2" t="s">
        <v>9</v>
      </c>
    </row>
    <row r="40" spans="1:13" ht="12.75">
      <c r="A40" t="s">
        <v>100</v>
      </c>
      <c r="B40">
        <f>H9</f>
        <v>1350</v>
      </c>
      <c r="C40">
        <f>I9</f>
        <v>2866.5</v>
      </c>
      <c r="D40">
        <f>B40*C40</f>
        <v>3869775</v>
      </c>
      <c r="E40">
        <f>B43</f>
        <v>1550</v>
      </c>
      <c r="F40" s="113">
        <f>C43</f>
        <v>3009.325</v>
      </c>
      <c r="G40">
        <f>D43</f>
        <v>4664453.75</v>
      </c>
      <c r="H40">
        <f>E43</f>
        <v>1750</v>
      </c>
      <c r="I40">
        <f>F43</f>
        <v>3159.46625</v>
      </c>
      <c r="J40">
        <f>H40*I40</f>
        <v>5529065.9375</v>
      </c>
      <c r="K40">
        <f>H43</f>
        <v>2000</v>
      </c>
      <c r="L40">
        <f>I43</f>
        <v>3316.9733125</v>
      </c>
      <c r="M40">
        <f>K40*L40</f>
        <v>6633946.625</v>
      </c>
    </row>
    <row r="41" spans="1:13" ht="12.75">
      <c r="A41" s="105" t="s">
        <v>107</v>
      </c>
      <c r="B41">
        <f>'Quantitative Statement'!C29</f>
        <v>35850</v>
      </c>
      <c r="C41" s="113">
        <f>C40*5/100+2866</f>
        <v>3009.325</v>
      </c>
      <c r="D41">
        <f>B41*C41</f>
        <v>107884301.25</v>
      </c>
      <c r="E41">
        <f>'Quantitative Statement'!C37</f>
        <v>36500</v>
      </c>
      <c r="F41">
        <f>C41*5/100+3009</f>
        <v>3159.46625</v>
      </c>
      <c r="G41">
        <f>E41*F41</f>
        <v>115320518.125</v>
      </c>
      <c r="H41">
        <f>'Quantitative Statement'!C45</f>
        <v>38000</v>
      </c>
      <c r="I41">
        <f>F41*5/100+3159</f>
        <v>3316.9733125</v>
      </c>
      <c r="J41">
        <f>H41*I41</f>
        <v>126044985.87499999</v>
      </c>
      <c r="K41">
        <f>'Quantitative Statement'!C53</f>
        <v>38500</v>
      </c>
      <c r="L41">
        <f>I41*5/100+3316</f>
        <v>3481.848665625</v>
      </c>
      <c r="M41">
        <f>K41*L41</f>
        <v>134051173.6265625</v>
      </c>
    </row>
    <row r="43" spans="1:13" ht="12.75">
      <c r="A43" t="s">
        <v>116</v>
      </c>
      <c r="B43">
        <f>'Quantitative Statement'!C31</f>
        <v>1550</v>
      </c>
      <c r="C43" s="113">
        <f>C41</f>
        <v>3009.325</v>
      </c>
      <c r="D43">
        <f>B43*C43</f>
        <v>4664453.75</v>
      </c>
      <c r="E43">
        <f>'Quantitative Statement'!C39</f>
        <v>1750</v>
      </c>
      <c r="F43">
        <f>F41</f>
        <v>3159.46625</v>
      </c>
      <c r="G43">
        <f>E43*F43</f>
        <v>5529065.9375</v>
      </c>
      <c r="H43">
        <f>'Quantitative Statement'!C47</f>
        <v>2000</v>
      </c>
      <c r="I43">
        <f>I41</f>
        <v>3316.9733125</v>
      </c>
      <c r="J43">
        <f>H43*I43</f>
        <v>6633946.625</v>
      </c>
      <c r="K43">
        <f>'Quantitative Statement'!C55</f>
        <v>2000</v>
      </c>
      <c r="L43">
        <f>L41</f>
        <v>3481.848665625</v>
      </c>
      <c r="M43">
        <f>K43*L43</f>
        <v>6963697.331250001</v>
      </c>
    </row>
    <row r="44" spans="1:13" ht="12.75">
      <c r="A44" t="s">
        <v>120</v>
      </c>
      <c r="B44">
        <f>'Quantitative Statement'!C32</f>
        <v>35650</v>
      </c>
      <c r="D44">
        <f>D40+D41-D43</f>
        <v>107089622.5</v>
      </c>
      <c r="E44">
        <f>'Quantitative Statement'!C40</f>
        <v>36300</v>
      </c>
      <c r="G44">
        <f>G40+G41-G43</f>
        <v>114455905.9375</v>
      </c>
      <c r="H44">
        <f>'Quantitative Statement'!C48</f>
        <v>37750</v>
      </c>
      <c r="J44">
        <f>J40+J41-J43</f>
        <v>124940105.18749999</v>
      </c>
      <c r="K44">
        <f>'Quantitative Statement'!C56</f>
        <v>38500</v>
      </c>
      <c r="M44">
        <f>M40+M41-M43</f>
        <v>133721422.92031251</v>
      </c>
    </row>
    <row r="45" ht="12.75">
      <c r="A45" t="s">
        <v>119</v>
      </c>
    </row>
    <row r="46" spans="1:13" ht="12.75">
      <c r="A46" t="s">
        <v>102</v>
      </c>
      <c r="D46" s="102">
        <f>J12*5/100+441000</f>
        <v>463050</v>
      </c>
      <c r="G46" s="102">
        <f>D46*5/100+463050</f>
        <v>486202.5</v>
      </c>
      <c r="J46" s="102">
        <f>G46*5/100+486200</f>
        <v>510510.125</v>
      </c>
      <c r="M46" s="102">
        <f>J46*5/100+510510</f>
        <v>536035.50625</v>
      </c>
    </row>
    <row r="47" spans="1:13" ht="12.75">
      <c r="A47" t="s">
        <v>103</v>
      </c>
      <c r="D47" s="102">
        <f>J13*5/100+551250</f>
        <v>578812.5</v>
      </c>
      <c r="G47" s="102">
        <f>D47*5/100+578812</f>
        <v>607752.625</v>
      </c>
      <c r="J47" s="102">
        <f>G47*5/100+607750</f>
        <v>638137.63125</v>
      </c>
      <c r="M47">
        <f>J475*5/100+638100</f>
        <v>638100</v>
      </c>
    </row>
    <row r="48" spans="1:13" ht="12.75">
      <c r="A48" t="s">
        <v>101</v>
      </c>
      <c r="D48" s="102">
        <f>J14*5/100+882000</f>
        <v>926100</v>
      </c>
      <c r="G48" s="102">
        <f>D48*5/100+926100</f>
        <v>972405</v>
      </c>
      <c r="J48" s="102">
        <f>G48*5/100+972400</f>
        <v>1021020.25</v>
      </c>
      <c r="M48" s="102">
        <f>J48*5/100+1021000</f>
        <v>1072051.0125</v>
      </c>
    </row>
    <row r="49" spans="1:13" ht="12.75">
      <c r="A49" t="s">
        <v>121</v>
      </c>
      <c r="B49">
        <f>B44</f>
        <v>35650</v>
      </c>
      <c r="D49">
        <f>SUM(D44:D48)</f>
        <v>109057585</v>
      </c>
      <c r="E49">
        <f>E44</f>
        <v>36300</v>
      </c>
      <c r="G49">
        <f>SUM(G44:G48)</f>
        <v>116522266.0625</v>
      </c>
      <c r="H49">
        <f>H44</f>
        <v>37750</v>
      </c>
      <c r="J49">
        <f>SUM(J44:J48)</f>
        <v>127109773.19374998</v>
      </c>
      <c r="K49">
        <f>K44</f>
        <v>38500</v>
      </c>
      <c r="M49">
        <f>SUM(M44:M48)</f>
        <v>135967609.4390625</v>
      </c>
    </row>
    <row r="50" spans="1:11" ht="12.75">
      <c r="A50" t="s">
        <v>117</v>
      </c>
      <c r="B50">
        <f>B49*33/100</f>
        <v>11764.5</v>
      </c>
      <c r="E50">
        <f>E49*33/100</f>
        <v>11979</v>
      </c>
      <c r="H50">
        <f>H49*33/100</f>
        <v>12457.5</v>
      </c>
      <c r="K50">
        <f>K49*33/100</f>
        <v>12705</v>
      </c>
    </row>
    <row r="51" spans="1:11" ht="12.75">
      <c r="A51" t="s">
        <v>118</v>
      </c>
      <c r="B51">
        <f>B49*65.6/100</f>
        <v>23386.4</v>
      </c>
      <c r="E51">
        <f>E49*65.6/100</f>
        <v>23812.8</v>
      </c>
      <c r="H51">
        <f>H49*65.6/100</f>
        <v>24764</v>
      </c>
      <c r="K51">
        <f>K49*65.6/100</f>
        <v>25256</v>
      </c>
    </row>
    <row r="52" spans="2:13" ht="12.75">
      <c r="B52" s="178" t="s">
        <v>94</v>
      </c>
      <c r="C52" s="178"/>
      <c r="D52" s="106"/>
      <c r="E52" s="178" t="s">
        <v>19</v>
      </c>
      <c r="F52" s="178"/>
      <c r="G52" s="106"/>
      <c r="H52" s="178" t="s">
        <v>20</v>
      </c>
      <c r="I52" s="178"/>
      <c r="J52" s="106"/>
      <c r="K52" s="178" t="s">
        <v>21</v>
      </c>
      <c r="L52" s="178"/>
      <c r="M52" s="2"/>
    </row>
    <row r="53" spans="1:13" ht="12.75">
      <c r="A53" t="s">
        <v>4</v>
      </c>
      <c r="B53" s="2" t="s">
        <v>104</v>
      </c>
      <c r="C53" s="2" t="s">
        <v>105</v>
      </c>
      <c r="D53" s="2" t="s">
        <v>9</v>
      </c>
      <c r="E53" s="2" t="s">
        <v>104</v>
      </c>
      <c r="F53" s="2" t="s">
        <v>105</v>
      </c>
      <c r="G53" s="2" t="s">
        <v>9</v>
      </c>
      <c r="H53" s="2" t="s">
        <v>104</v>
      </c>
      <c r="I53" s="2" t="s">
        <v>105</v>
      </c>
      <c r="J53" s="2" t="s">
        <v>9</v>
      </c>
      <c r="K53" s="2" t="s">
        <v>104</v>
      </c>
      <c r="L53" s="2" t="s">
        <v>105</v>
      </c>
      <c r="M53" s="2" t="s">
        <v>9</v>
      </c>
    </row>
    <row r="54" spans="1:13" ht="12.75">
      <c r="A54" t="s">
        <v>100</v>
      </c>
      <c r="B54">
        <f>H23</f>
        <v>750</v>
      </c>
      <c r="C54" s="113">
        <f>I23</f>
        <v>7621.2272291606105</v>
      </c>
      <c r="D54">
        <f>B54*C54</f>
        <v>5715920.421870458</v>
      </c>
      <c r="E54">
        <f>B57</f>
        <v>900</v>
      </c>
      <c r="F54" s="113">
        <f>C57</f>
        <v>7972.856235961516</v>
      </c>
      <c r="G54">
        <f>E54*F54</f>
        <v>7175570.612365364</v>
      </c>
      <c r="H54">
        <f>E57</f>
        <v>1000</v>
      </c>
      <c r="I54" s="113">
        <f>F57</f>
        <v>8360.920047253021</v>
      </c>
      <c r="J54">
        <f>H54*I54</f>
        <v>8360920.047253021</v>
      </c>
      <c r="K54">
        <f>H57</f>
        <v>1050</v>
      </c>
      <c r="L54" s="113">
        <f>I57</f>
        <v>8758.936893684597</v>
      </c>
      <c r="M54">
        <f>K54*L54</f>
        <v>9196883.738368826</v>
      </c>
    </row>
    <row r="55" spans="1:11" ht="12.75">
      <c r="A55" s="105" t="s">
        <v>122</v>
      </c>
      <c r="B55">
        <f>B50</f>
        <v>11764.5</v>
      </c>
      <c r="E55">
        <f>E50</f>
        <v>11979</v>
      </c>
      <c r="H55">
        <f>H50</f>
        <v>12457.5</v>
      </c>
      <c r="K55" s="1">
        <f>K50</f>
        <v>12705</v>
      </c>
    </row>
    <row r="56" spans="1:13" ht="12.75">
      <c r="A56" t="s">
        <v>111</v>
      </c>
      <c r="B56" s="1">
        <f>'Quantitative Statement'!E31</f>
        <v>11615</v>
      </c>
      <c r="C56" s="1">
        <f>I22*3.5/100+I22</f>
        <v>7686.039375</v>
      </c>
      <c r="D56">
        <f>B56*C56</f>
        <v>89273347.340625</v>
      </c>
      <c r="E56" s="1">
        <f>'Quantitative Statement'!E39</f>
        <v>11879</v>
      </c>
      <c r="F56">
        <f>C56*4.5/100+C56</f>
        <v>8031.911146875001</v>
      </c>
      <c r="G56">
        <f>E56*F56</f>
        <v>95411072.51372813</v>
      </c>
      <c r="H56" s="1">
        <f>'Quantitative Statement'!E47</f>
        <v>12408</v>
      </c>
      <c r="I56">
        <f>F56*4/100+F56</f>
        <v>8353.18759275</v>
      </c>
      <c r="J56">
        <f>H56*I56</f>
        <v>103646351.65084201</v>
      </c>
      <c r="K56" s="1">
        <f>'Quantitative Statement'!E55</f>
        <v>12655</v>
      </c>
      <c r="L56">
        <f>I56*4/100+I56</f>
        <v>8687.31509646</v>
      </c>
      <c r="M56">
        <f>K56*L56</f>
        <v>109937972.54570131</v>
      </c>
    </row>
    <row r="57" spans="1:13" ht="12.75">
      <c r="A57" t="s">
        <v>71</v>
      </c>
      <c r="B57">
        <f>'Quantitative Statement'!E32</f>
        <v>900</v>
      </c>
      <c r="C57" s="113">
        <f>D106</f>
        <v>7972.856235961516</v>
      </c>
      <c r="D57">
        <f>B57*C57</f>
        <v>7175570.612365364</v>
      </c>
      <c r="E57">
        <f>'Quantitative Statement'!E40</f>
        <v>1000</v>
      </c>
      <c r="F57" s="113">
        <f>D118</f>
        <v>8360.920047253021</v>
      </c>
      <c r="G57">
        <f>E57*F57</f>
        <v>8360920.047253021</v>
      </c>
      <c r="H57">
        <f>'Quantitative Statement'!E48</f>
        <v>1050</v>
      </c>
      <c r="I57" s="113">
        <f>D129</f>
        <v>8758.936893684597</v>
      </c>
      <c r="J57" s="113">
        <f>H57*I57</f>
        <v>9196883.738368826</v>
      </c>
      <c r="K57">
        <f>'Quantitative Statement'!E56</f>
        <v>1100</v>
      </c>
      <c r="L57" s="113">
        <f>D141</f>
        <v>9174.870906065578</v>
      </c>
      <c r="M57">
        <f>K57*L57</f>
        <v>10092357.996672137</v>
      </c>
    </row>
    <row r="59" spans="2:13" ht="12.75">
      <c r="B59" s="178" t="s">
        <v>94</v>
      </c>
      <c r="C59" s="178"/>
      <c r="D59" s="106"/>
      <c r="E59" s="178" t="s">
        <v>19</v>
      </c>
      <c r="F59" s="178"/>
      <c r="G59" s="106"/>
      <c r="H59" s="178" t="s">
        <v>20</v>
      </c>
      <c r="I59" s="178"/>
      <c r="J59" s="106"/>
      <c r="K59" s="178" t="s">
        <v>21</v>
      </c>
      <c r="L59" s="178"/>
      <c r="M59" s="2"/>
    </row>
    <row r="60" spans="1:13" ht="12.75">
      <c r="A60" t="s">
        <v>5</v>
      </c>
      <c r="B60" s="2" t="s">
        <v>104</v>
      </c>
      <c r="C60" s="2" t="s">
        <v>105</v>
      </c>
      <c r="D60" s="2" t="s">
        <v>9</v>
      </c>
      <c r="E60" s="2" t="s">
        <v>104</v>
      </c>
      <c r="F60" s="2" t="s">
        <v>105</v>
      </c>
      <c r="G60" s="2" t="s">
        <v>9</v>
      </c>
      <c r="H60" s="2" t="s">
        <v>104</v>
      </c>
      <c r="I60" s="2" t="s">
        <v>105</v>
      </c>
      <c r="J60" s="2" t="s">
        <v>9</v>
      </c>
      <c r="K60" s="2" t="s">
        <v>104</v>
      </c>
      <c r="L60" s="2" t="s">
        <v>105</v>
      </c>
      <c r="M60" s="2" t="s">
        <v>9</v>
      </c>
    </row>
    <row r="61" spans="1:13" ht="12.75">
      <c r="A61" t="s">
        <v>100</v>
      </c>
      <c r="B61">
        <f>H31</f>
        <v>1550</v>
      </c>
      <c r="C61" s="113">
        <f>I31</f>
        <v>614.716838169241</v>
      </c>
      <c r="D61">
        <f>B61*C61</f>
        <v>952811.0991623235</v>
      </c>
      <c r="E61">
        <f>B64</f>
        <v>1600</v>
      </c>
      <c r="F61" s="113">
        <f>C64</f>
        <v>652.5552377463287</v>
      </c>
      <c r="G61">
        <f>E61*F61</f>
        <v>1044088.3803941258</v>
      </c>
      <c r="H61">
        <f>E64</f>
        <v>1750</v>
      </c>
      <c r="I61" s="113">
        <f>F64</f>
        <v>687.3112282661457</v>
      </c>
      <c r="J61" s="113">
        <f>H61*I61</f>
        <v>1202794.6494657549</v>
      </c>
      <c r="K61">
        <f>H64</f>
        <v>2000</v>
      </c>
      <c r="L61" s="113">
        <f>I64</f>
        <v>726.672461665084</v>
      </c>
      <c r="M61" s="113">
        <f>K61*L61</f>
        <v>1453344.923330168</v>
      </c>
    </row>
    <row r="62" spans="1:11" ht="12.75">
      <c r="A62" s="105" t="s">
        <v>122</v>
      </c>
      <c r="B62">
        <f>B51</f>
        <v>23386.4</v>
      </c>
      <c r="E62">
        <f>E51</f>
        <v>23812.8</v>
      </c>
      <c r="H62">
        <f>H51</f>
        <v>24764</v>
      </c>
      <c r="K62">
        <f>K51</f>
        <v>25256</v>
      </c>
    </row>
    <row r="63" spans="1:13" ht="12.75">
      <c r="A63" t="s">
        <v>111</v>
      </c>
      <c r="B63" s="1">
        <f>'Quantitative Statement'!G31</f>
        <v>23336</v>
      </c>
      <c r="C63">
        <f>I30*5/100+1191</f>
        <v>1250.535</v>
      </c>
      <c r="D63">
        <f>B63*C63</f>
        <v>29182484.76</v>
      </c>
      <c r="E63" s="1">
        <f>'Quantitative Statement'!G39</f>
        <v>23663</v>
      </c>
      <c r="F63">
        <f>C63*5/100+1250</f>
        <v>1312.52675</v>
      </c>
      <c r="G63">
        <f>E63*F63</f>
        <v>31058320.48525</v>
      </c>
      <c r="H63" s="1">
        <f>'Quantitative Statement'!G47</f>
        <v>24514</v>
      </c>
      <c r="I63">
        <f>F63*5/100+1312</f>
        <v>1377.6263375</v>
      </c>
      <c r="J63">
        <f>H63*I63</f>
        <v>33771132.037475005</v>
      </c>
      <c r="K63" s="1">
        <f>'Quantitative Statement'!G55</f>
        <v>25156</v>
      </c>
      <c r="L63">
        <f>I63*5/100+1377</f>
        <v>1445.881316875</v>
      </c>
      <c r="M63">
        <f>K63*L63</f>
        <v>36372590.4073075</v>
      </c>
    </row>
    <row r="64" spans="1:13" ht="12.75">
      <c r="A64" t="s">
        <v>71</v>
      </c>
      <c r="B64">
        <f>'Quantitative Statement'!G32</f>
        <v>1600</v>
      </c>
      <c r="C64" s="113">
        <f>D107</f>
        <v>652.5552377463287</v>
      </c>
      <c r="D64">
        <f>B64*C64</f>
        <v>1044088.3803941258</v>
      </c>
      <c r="E64">
        <f>'Quantitative Statement'!G40</f>
        <v>1750</v>
      </c>
      <c r="F64" s="113">
        <f>D119</f>
        <v>687.3112282661457</v>
      </c>
      <c r="G64">
        <f>E64*F64</f>
        <v>1202794.6494657549</v>
      </c>
      <c r="H64">
        <f>'Quantitative Statement'!G48</f>
        <v>2000</v>
      </c>
      <c r="I64" s="113">
        <f>D130</f>
        <v>726.672461665084</v>
      </c>
      <c r="J64" s="113">
        <f>H64*I64</f>
        <v>1453344.923330168</v>
      </c>
      <c r="K64">
        <f>'Quantitative Statement'!G56</f>
        <v>2100</v>
      </c>
      <c r="L64" s="113">
        <f>D142</f>
        <v>768.1689332237619</v>
      </c>
      <c r="M64">
        <f>K64*L64</f>
        <v>1613154.7597699</v>
      </c>
    </row>
    <row r="68" ht="12.75">
      <c r="A68" t="s">
        <v>129</v>
      </c>
    </row>
    <row r="69" ht="12.75">
      <c r="A69" t="s">
        <v>4</v>
      </c>
    </row>
    <row r="70" spans="1:3" ht="12.75">
      <c r="A70" t="s">
        <v>123</v>
      </c>
      <c r="B70">
        <f>C22</f>
        <v>6650</v>
      </c>
      <c r="C70" t="s">
        <v>124</v>
      </c>
    </row>
    <row r="71" spans="1:3" ht="12.75">
      <c r="A71" t="s">
        <v>128</v>
      </c>
      <c r="B71">
        <f>C30</f>
        <v>1080</v>
      </c>
      <c r="C71" t="s">
        <v>124</v>
      </c>
    </row>
    <row r="72" ht="13.5" thickBot="1">
      <c r="B72" s="161">
        <f>B70+B71</f>
        <v>7730</v>
      </c>
    </row>
    <row r="73" ht="13.5" thickTop="1">
      <c r="A73" t="s">
        <v>121</v>
      </c>
    </row>
    <row r="74" spans="1:5" ht="12.75">
      <c r="A74" t="s">
        <v>4</v>
      </c>
      <c r="B74" t="s">
        <v>127</v>
      </c>
      <c r="D74" t="s">
        <v>125</v>
      </c>
      <c r="E74" t="s">
        <v>126</v>
      </c>
    </row>
    <row r="75" spans="1:5" ht="12.75">
      <c r="A75" t="s">
        <v>123</v>
      </c>
      <c r="B75" s="102">
        <f>D15/7688</f>
        <v>10028.616024973986</v>
      </c>
      <c r="C75" s="102">
        <f>B75*B70</f>
        <v>66690296.56607701</v>
      </c>
      <c r="D75" s="102">
        <f>C75/B16</f>
        <v>6968.683026758308</v>
      </c>
      <c r="E75" s="102">
        <f>D75*B23</f>
        <v>3135907.3620412387</v>
      </c>
    </row>
    <row r="76" spans="2:5" ht="12.75">
      <c r="B76" s="102">
        <f>B75</f>
        <v>10028.616024973986</v>
      </c>
      <c r="C76" s="102">
        <f>B76*B71</f>
        <v>10830905.306971906</v>
      </c>
      <c r="D76" s="102">
        <f>C76/B17</f>
        <v>569.3284959510044</v>
      </c>
      <c r="E76" s="102">
        <f>D76*B31</f>
        <v>483929.2215583537</v>
      </c>
    </row>
    <row r="78" ht="12.75">
      <c r="A78" t="s">
        <v>130</v>
      </c>
    </row>
    <row r="79" ht="12.75">
      <c r="A79" t="s">
        <v>113</v>
      </c>
    </row>
    <row r="80" spans="1:3" ht="12.75">
      <c r="A80" t="s">
        <v>114</v>
      </c>
      <c r="B80">
        <f>F22</f>
        <v>7175</v>
      </c>
      <c r="C80" t="s">
        <v>124</v>
      </c>
    </row>
    <row r="81" spans="2:3" ht="12.75">
      <c r="B81">
        <f>F30</f>
        <v>1134</v>
      </c>
      <c r="C81" t="s">
        <v>124</v>
      </c>
    </row>
    <row r="82" ht="13.5" thickBot="1">
      <c r="B82" s="161">
        <f>SUM(B80:B81)</f>
        <v>8309</v>
      </c>
    </row>
    <row r="83" ht="13.5" thickTop="1">
      <c r="A83" t="s">
        <v>121</v>
      </c>
    </row>
    <row r="84" spans="1:5" ht="12.75">
      <c r="A84" t="s">
        <v>4</v>
      </c>
      <c r="B84" t="s">
        <v>127</v>
      </c>
      <c r="D84" t="s">
        <v>125</v>
      </c>
      <c r="E84" t="s">
        <v>126</v>
      </c>
    </row>
    <row r="85" spans="1:5" ht="12.75">
      <c r="A85" t="s">
        <v>123</v>
      </c>
      <c r="B85" s="113">
        <f>G15/B82</f>
        <v>10515.946563966783</v>
      </c>
      <c r="C85">
        <f>B85*B80</f>
        <v>75451916.59646167</v>
      </c>
      <c r="D85" s="113">
        <f>C85/E16</f>
        <v>7281.597818612398</v>
      </c>
      <c r="E85" s="113">
        <f>D85*E23</f>
        <v>4587406.625725811</v>
      </c>
    </row>
    <row r="86" spans="2:5" ht="12.75">
      <c r="B86" s="113">
        <f>G15/B82</f>
        <v>10515.946563966783</v>
      </c>
      <c r="C86">
        <f>B86*B81</f>
        <v>11925083.403538331</v>
      </c>
      <c r="D86" s="113">
        <f>C86/E17</f>
        <v>578.9325094928894</v>
      </c>
      <c r="E86" s="112">
        <f>D86*E31</f>
        <v>659983.0608218939</v>
      </c>
    </row>
    <row r="88" ht="12.75">
      <c r="A88" t="s">
        <v>131</v>
      </c>
    </row>
    <row r="89" ht="12.75">
      <c r="A89" t="s">
        <v>113</v>
      </c>
    </row>
    <row r="90" spans="1:3" ht="12.75">
      <c r="A90" t="s">
        <v>114</v>
      </c>
      <c r="B90">
        <f>I22</f>
        <v>7426.125</v>
      </c>
      <c r="C90" t="s">
        <v>124</v>
      </c>
    </row>
    <row r="91" spans="2:3" ht="12.75">
      <c r="B91">
        <f>I30</f>
        <v>1190.7</v>
      </c>
      <c r="C91" t="s">
        <v>124</v>
      </c>
    </row>
    <row r="92" ht="13.5" thickBot="1">
      <c r="B92" s="160">
        <f>B90+B91</f>
        <v>8616.825</v>
      </c>
    </row>
    <row r="93" ht="13.5" thickTop="1"/>
    <row r="94" spans="1:5" ht="12.75">
      <c r="A94" t="s">
        <v>121</v>
      </c>
      <c r="B94" t="s">
        <v>127</v>
      </c>
      <c r="D94" t="s">
        <v>125</v>
      </c>
      <c r="E94" t="s">
        <v>126</v>
      </c>
    </row>
    <row r="95" spans="1:5" ht="12.75">
      <c r="A95" t="s">
        <v>4</v>
      </c>
      <c r="B95" s="113">
        <f>J15/B92</f>
        <v>11281.094254554317</v>
      </c>
      <c r="C95">
        <f>B95*B90</f>
        <v>83774816.07110217</v>
      </c>
      <c r="D95" s="113">
        <f>C95/H16</f>
        <v>7621.2272291606105</v>
      </c>
      <c r="E95" s="113">
        <f>D95*H23</f>
        <v>5715920.421870458</v>
      </c>
    </row>
    <row r="96" spans="1:5" ht="12.75">
      <c r="A96" t="s">
        <v>123</v>
      </c>
      <c r="B96" s="113">
        <f>J15/B92</f>
        <v>11281.094254554317</v>
      </c>
      <c r="C96">
        <f>B96*B91</f>
        <v>13432398.928897826</v>
      </c>
      <c r="D96" s="113">
        <f>C96/H17</f>
        <v>614.716838169241</v>
      </c>
      <c r="E96" s="112">
        <f>D96*H31</f>
        <v>952811.0991623235</v>
      </c>
    </row>
    <row r="99" ht="12.75">
      <c r="A99" t="s">
        <v>132</v>
      </c>
    </row>
    <row r="100" spans="1:3" ht="12.75">
      <c r="A100" t="s">
        <v>113</v>
      </c>
      <c r="B100" s="113">
        <f>C56</f>
        <v>7686.039375</v>
      </c>
      <c r="C100" t="s">
        <v>124</v>
      </c>
    </row>
    <row r="101" spans="1:3" ht="12.75">
      <c r="A101" t="s">
        <v>114</v>
      </c>
      <c r="B101" s="113">
        <f>C63</f>
        <v>1250.535</v>
      </c>
      <c r="C101" t="s">
        <v>124</v>
      </c>
    </row>
    <row r="102" ht="13.5" thickBot="1">
      <c r="B102" s="160">
        <f>SUM(B100:B101)</f>
        <v>8936.574375</v>
      </c>
    </row>
    <row r="103" ht="13.5" thickTop="1"/>
    <row r="105" spans="1:5" ht="12.75">
      <c r="A105" t="s">
        <v>121</v>
      </c>
      <c r="B105" t="s">
        <v>127</v>
      </c>
      <c r="D105" t="s">
        <v>125</v>
      </c>
      <c r="E105" t="s">
        <v>126</v>
      </c>
    </row>
    <row r="106" spans="1:5" ht="12.75">
      <c r="A106" t="s">
        <v>4</v>
      </c>
      <c r="B106" s="113">
        <f>D49/B102</f>
        <v>12203.51114685374</v>
      </c>
      <c r="C106">
        <f>B106*B100</f>
        <v>93796667.18796925</v>
      </c>
      <c r="D106" s="113">
        <f>C106/B50</f>
        <v>7972.856235961516</v>
      </c>
      <c r="E106" s="1">
        <f>D106*B57</f>
        <v>7175570.612365364</v>
      </c>
    </row>
    <row r="107" spans="1:5" ht="12.75">
      <c r="A107" t="s">
        <v>123</v>
      </c>
      <c r="B107" s="113">
        <f>D49/B102</f>
        <v>12203.51114685374</v>
      </c>
      <c r="C107">
        <f>B107*B101</f>
        <v>15260917.812030742</v>
      </c>
      <c r="D107" s="113">
        <f>C107/B51</f>
        <v>652.5552377463287</v>
      </c>
      <c r="E107" s="1">
        <f>D107*B64</f>
        <v>1044088.3803941258</v>
      </c>
    </row>
    <row r="111" ht="12.75">
      <c r="A111" t="s">
        <v>133</v>
      </c>
    </row>
    <row r="112" spans="1:3" ht="12.75">
      <c r="A112" t="s">
        <v>113</v>
      </c>
      <c r="B112" s="113">
        <f>F56</f>
        <v>8031.911146875001</v>
      </c>
      <c r="C112" t="s">
        <v>124</v>
      </c>
    </row>
    <row r="113" spans="1:3" ht="12.75">
      <c r="A113" t="s">
        <v>114</v>
      </c>
      <c r="B113" s="113">
        <f>F63</f>
        <v>1312.52675</v>
      </c>
      <c r="C113" t="s">
        <v>124</v>
      </c>
    </row>
    <row r="114" ht="13.5" thickBot="1">
      <c r="B114" s="160">
        <f>SUM(B112:B113)</f>
        <v>9344.437896875</v>
      </c>
    </row>
    <row r="115" ht="13.5" thickTop="1"/>
    <row r="117" spans="1:5" ht="12.75">
      <c r="A117" t="s">
        <v>121</v>
      </c>
      <c r="B117" t="s">
        <v>127</v>
      </c>
      <c r="D117" t="s">
        <v>125</v>
      </c>
      <c r="E117" t="s">
        <v>126</v>
      </c>
    </row>
    <row r="118" spans="1:5" ht="12.75">
      <c r="A118" t="s">
        <v>4</v>
      </c>
      <c r="B118" s="113">
        <f>G49/B114</f>
        <v>12469.69238261702</v>
      </c>
      <c r="C118">
        <f>B118*B112</f>
        <v>100155461.24604394</v>
      </c>
      <c r="D118" s="113">
        <f>C118/E50</f>
        <v>8360.920047253021</v>
      </c>
      <c r="E118" s="113">
        <f>D118*E57</f>
        <v>8360920.047253021</v>
      </c>
    </row>
    <row r="119" spans="1:5" ht="12.75">
      <c r="A119" t="s">
        <v>123</v>
      </c>
      <c r="B119" s="113">
        <f>G49/B114</f>
        <v>12469.69238261702</v>
      </c>
      <c r="C119">
        <f>B119*B113</f>
        <v>16366804.816456074</v>
      </c>
      <c r="D119" s="113">
        <f>C119/E51</f>
        <v>687.3112282661457</v>
      </c>
      <c r="E119" s="113">
        <f>D119*E64</f>
        <v>1202794.6494657549</v>
      </c>
    </row>
    <row r="122" ht="12.75">
      <c r="A122" t="s">
        <v>177</v>
      </c>
    </row>
    <row r="123" spans="1:3" ht="12.75">
      <c r="A123" t="s">
        <v>113</v>
      </c>
      <c r="B123" s="113">
        <f>I56</f>
        <v>8353.18759275</v>
      </c>
      <c r="C123" t="s">
        <v>124</v>
      </c>
    </row>
    <row r="124" spans="1:3" ht="12.75">
      <c r="A124" t="s">
        <v>114</v>
      </c>
      <c r="B124">
        <v>1377.62</v>
      </c>
      <c r="C124" t="s">
        <v>124</v>
      </c>
    </row>
    <row r="125" ht="13.5" thickBot="1">
      <c r="B125" s="160">
        <f>SUM(B123:B124)</f>
        <v>9730.80759275</v>
      </c>
    </row>
    <row r="126" ht="13.5" thickTop="1"/>
    <row r="128" spans="1:5" ht="12.75">
      <c r="A128" t="s">
        <v>121</v>
      </c>
      <c r="B128" t="s">
        <v>127</v>
      </c>
      <c r="D128" t="s">
        <v>125</v>
      </c>
      <c r="E128" t="s">
        <v>126</v>
      </c>
    </row>
    <row r="129" spans="1:5" ht="12.75">
      <c r="A129" t="s">
        <v>4</v>
      </c>
      <c r="B129" s="113">
        <f>J49/B125</f>
        <v>13062.612941648742</v>
      </c>
      <c r="C129">
        <f>B129*B123</f>
        <v>109114456.35307586</v>
      </c>
      <c r="D129" s="113">
        <f>C129/H50</f>
        <v>8758.936893684597</v>
      </c>
      <c r="E129" s="113">
        <f>D129*H57</f>
        <v>9196883.738368826</v>
      </c>
    </row>
    <row r="130" spans="1:5" ht="12.75">
      <c r="A130" t="s">
        <v>123</v>
      </c>
      <c r="B130" s="113">
        <f>J49/B125</f>
        <v>13062.612941648742</v>
      </c>
      <c r="C130">
        <f>B130*B124</f>
        <v>17995316.84067414</v>
      </c>
      <c r="D130" s="113">
        <f>C130/H51</f>
        <v>726.672461665084</v>
      </c>
      <c r="E130" s="113">
        <f>D130*H64</f>
        <v>1453344.923330168</v>
      </c>
    </row>
    <row r="134" ht="12.75">
      <c r="A134" t="s">
        <v>176</v>
      </c>
    </row>
    <row r="135" spans="1:3" ht="12.75">
      <c r="A135" t="s">
        <v>113</v>
      </c>
      <c r="B135" s="113">
        <f>L56</f>
        <v>8687.31509646</v>
      </c>
      <c r="C135" t="s">
        <v>124</v>
      </c>
    </row>
    <row r="136" spans="1:3" ht="12.75">
      <c r="A136" t="s">
        <v>114</v>
      </c>
      <c r="B136">
        <v>1445.88</v>
      </c>
      <c r="C136" t="s">
        <v>124</v>
      </c>
    </row>
    <row r="137" ht="13.5" thickBot="1">
      <c r="B137" s="160">
        <f>SUM(B135:B136)</f>
        <v>10133.19509646</v>
      </c>
    </row>
    <row r="138" ht="13.5" thickTop="1"/>
    <row r="140" spans="1:5" ht="12.75">
      <c r="A140" t="s">
        <v>121</v>
      </c>
      <c r="B140" t="s">
        <v>127</v>
      </c>
      <c r="D140" t="s">
        <v>125</v>
      </c>
      <c r="E140" t="s">
        <v>126</v>
      </c>
    </row>
    <row r="141" spans="1:5" ht="12.75">
      <c r="A141" t="s">
        <v>4</v>
      </c>
      <c r="B141" s="113">
        <f>M49/B137</f>
        <v>13418.039240807902</v>
      </c>
      <c r="C141">
        <f>B141*B135</f>
        <v>116566734.86156318</v>
      </c>
      <c r="D141" s="113">
        <f>C141/K50</f>
        <v>9174.870906065578</v>
      </c>
      <c r="E141">
        <f>D141*K57</f>
        <v>10092357.996672137</v>
      </c>
    </row>
    <row r="142" spans="1:5" ht="12.75">
      <c r="A142" t="s">
        <v>123</v>
      </c>
      <c r="B142" s="113">
        <f>M49/B137</f>
        <v>13418.039240807902</v>
      </c>
      <c r="C142">
        <f>B142*B136</f>
        <v>19400874.57749933</v>
      </c>
      <c r="D142" s="113">
        <f>C142/K51</f>
        <v>768.1689332237619</v>
      </c>
      <c r="E142">
        <f>D142*K64</f>
        <v>1613154.7597699</v>
      </c>
    </row>
    <row r="156" ht="12.75">
      <c r="A156" s="179" t="s">
        <v>228</v>
      </c>
    </row>
  </sheetData>
  <mergeCells count="33">
    <mergeCell ref="T26:U26"/>
    <mergeCell ref="N4:O4"/>
    <mergeCell ref="Q4:R4"/>
    <mergeCell ref="T4:U4"/>
    <mergeCell ref="T18:U18"/>
    <mergeCell ref="Q18:R18"/>
    <mergeCell ref="N18:O18"/>
    <mergeCell ref="H4:J4"/>
    <mergeCell ref="B18:C18"/>
    <mergeCell ref="N26:O26"/>
    <mergeCell ref="Q26:R26"/>
    <mergeCell ref="B4:D4"/>
    <mergeCell ref="E4:G4"/>
    <mergeCell ref="B26:C26"/>
    <mergeCell ref="K4:L4"/>
    <mergeCell ref="K18:L18"/>
    <mergeCell ref="H18:I18"/>
    <mergeCell ref="E18:F18"/>
    <mergeCell ref="E26:F26"/>
    <mergeCell ref="H26:I26"/>
    <mergeCell ref="K26:L26"/>
    <mergeCell ref="B38:C38"/>
    <mergeCell ref="E38:F38"/>
    <mergeCell ref="H38:I38"/>
    <mergeCell ref="K38:L38"/>
    <mergeCell ref="B52:C52"/>
    <mergeCell ref="E52:F52"/>
    <mergeCell ref="H52:I52"/>
    <mergeCell ref="K52:L52"/>
    <mergeCell ref="B59:C59"/>
    <mergeCell ref="E59:F59"/>
    <mergeCell ref="H59:I59"/>
    <mergeCell ref="K59:L59"/>
  </mergeCells>
  <hyperlinks>
    <hyperlink ref="A156" r:id="rId1" display="www.cottonyarnmarket.net"/>
  </hyperlinks>
  <printOptions/>
  <pageMargins left="0.41" right="0.17" top="0.78" bottom="2.6" header="0.17" footer="0.16"/>
  <pageSetup horizontalDpi="600" verticalDpi="6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9">
      <selection activeCell="A67" sqref="A67"/>
    </sheetView>
  </sheetViews>
  <sheetFormatPr defaultColWidth="9.140625" defaultRowHeight="12.75"/>
  <cols>
    <col min="2" max="2" width="11.140625" style="0" customWidth="1"/>
    <col min="3" max="3" width="7.7109375" style="0" customWidth="1"/>
    <col min="4" max="4" width="12.140625" style="0" bestFit="1" customWidth="1"/>
    <col min="6" max="6" width="12.140625" style="0" bestFit="1" customWidth="1"/>
    <col min="7" max="7" width="9.57421875" style="0" bestFit="1" customWidth="1"/>
  </cols>
  <sheetData>
    <row r="1" spans="1:7" ht="12.75">
      <c r="A1" s="178" t="s">
        <v>0</v>
      </c>
      <c r="B1" s="178"/>
      <c r="C1" s="178"/>
      <c r="D1" s="178"/>
      <c r="E1" s="178"/>
      <c r="F1" s="178"/>
      <c r="G1" s="178"/>
    </row>
    <row r="2" spans="1:7" ht="12.75">
      <c r="A2" s="2" t="s">
        <v>1</v>
      </c>
      <c r="B2" s="2" t="s">
        <v>3</v>
      </c>
      <c r="C2" s="2" t="s">
        <v>22</v>
      </c>
      <c r="D2" s="2" t="s">
        <v>3</v>
      </c>
      <c r="E2" s="2" t="s">
        <v>22</v>
      </c>
      <c r="F2" s="2" t="s">
        <v>3</v>
      </c>
      <c r="G2" s="2" t="s">
        <v>22</v>
      </c>
    </row>
    <row r="3" spans="1:7" ht="12.75">
      <c r="A3" s="2" t="s">
        <v>6</v>
      </c>
      <c r="B3" s="2" t="s">
        <v>2</v>
      </c>
      <c r="C3" s="2"/>
      <c r="D3" s="2" t="s">
        <v>4</v>
      </c>
      <c r="E3" s="2"/>
      <c r="F3" s="2" t="s">
        <v>5</v>
      </c>
      <c r="G3" s="2"/>
    </row>
    <row r="4" spans="2:7" ht="12.75">
      <c r="B4" t="s">
        <v>7</v>
      </c>
      <c r="C4" t="s">
        <v>15</v>
      </c>
      <c r="D4" t="s">
        <v>7</v>
      </c>
      <c r="E4" t="s">
        <v>15</v>
      </c>
      <c r="F4" t="s">
        <v>7</v>
      </c>
      <c r="G4" t="s">
        <v>15</v>
      </c>
    </row>
    <row r="5" spans="2:7" ht="12.75">
      <c r="B5" t="s">
        <v>8</v>
      </c>
      <c r="C5">
        <v>30000</v>
      </c>
      <c r="D5" t="s">
        <v>8</v>
      </c>
      <c r="E5" t="s">
        <v>15</v>
      </c>
      <c r="F5" t="s">
        <v>8</v>
      </c>
      <c r="G5" t="s">
        <v>15</v>
      </c>
    </row>
    <row r="6" spans="2:7" ht="12.75">
      <c r="B6" t="s">
        <v>9</v>
      </c>
      <c r="C6">
        <v>30000</v>
      </c>
      <c r="D6" t="s">
        <v>12</v>
      </c>
      <c r="E6" s="1">
        <f>C8*33/100</f>
        <v>9570</v>
      </c>
      <c r="F6" t="s">
        <v>12</v>
      </c>
      <c r="G6" s="1">
        <f>C8*65.6/100</f>
        <v>19023.999999999996</v>
      </c>
    </row>
    <row r="7" spans="2:7" ht="12.75">
      <c r="B7" t="s">
        <v>10</v>
      </c>
      <c r="C7">
        <v>1000</v>
      </c>
      <c r="D7" t="s">
        <v>13</v>
      </c>
      <c r="E7" s="1">
        <f>E6-E8</f>
        <v>9120</v>
      </c>
      <c r="F7" t="s">
        <v>13</v>
      </c>
      <c r="G7" s="1">
        <f>G6-G8</f>
        <v>18173.999999999996</v>
      </c>
    </row>
    <row r="8" spans="2:7" ht="12.75">
      <c r="B8" t="s">
        <v>11</v>
      </c>
      <c r="C8">
        <v>29000</v>
      </c>
      <c r="D8" t="s">
        <v>14</v>
      </c>
      <c r="E8">
        <v>450</v>
      </c>
      <c r="F8" t="s">
        <v>14</v>
      </c>
      <c r="G8">
        <v>850</v>
      </c>
    </row>
    <row r="11" spans="1:7" ht="12.75">
      <c r="A11" s="2" t="s">
        <v>16</v>
      </c>
      <c r="B11" s="2" t="s">
        <v>2</v>
      </c>
      <c r="C11" s="2"/>
      <c r="D11" s="2" t="s">
        <v>4</v>
      </c>
      <c r="E11" s="2"/>
      <c r="F11" s="2" t="s">
        <v>5</v>
      </c>
      <c r="G11" s="2"/>
    </row>
    <row r="12" spans="2:7" ht="12.75">
      <c r="B12" t="s">
        <v>7</v>
      </c>
      <c r="C12">
        <f>C7</f>
        <v>1000</v>
      </c>
      <c r="D12" t="s">
        <v>7</v>
      </c>
      <c r="E12">
        <f>E8</f>
        <v>450</v>
      </c>
      <c r="F12" t="s">
        <v>7</v>
      </c>
      <c r="G12">
        <f>G8</f>
        <v>850</v>
      </c>
    </row>
    <row r="13" spans="2:7" ht="12.75">
      <c r="B13" t="s">
        <v>8</v>
      </c>
      <c r="C13">
        <v>31500</v>
      </c>
      <c r="D13" t="s">
        <v>8</v>
      </c>
      <c r="E13" t="s">
        <v>15</v>
      </c>
      <c r="F13" t="s">
        <v>8</v>
      </c>
      <c r="G13" t="s">
        <v>15</v>
      </c>
    </row>
    <row r="14" spans="2:7" ht="12.75">
      <c r="B14" t="s">
        <v>9</v>
      </c>
      <c r="C14">
        <f>SUM(C12:C13)</f>
        <v>32500</v>
      </c>
      <c r="D14" t="s">
        <v>12</v>
      </c>
      <c r="E14" s="1">
        <f>C16*33/100</f>
        <v>10362</v>
      </c>
      <c r="F14" t="s">
        <v>12</v>
      </c>
      <c r="G14" s="1">
        <f>C16*65.6/100</f>
        <v>20598.399999999998</v>
      </c>
    </row>
    <row r="15" spans="2:7" ht="12.75">
      <c r="B15" t="s">
        <v>10</v>
      </c>
      <c r="C15">
        <v>1100</v>
      </c>
      <c r="D15" t="s">
        <v>13</v>
      </c>
      <c r="E15" s="1">
        <v>10182</v>
      </c>
      <c r="F15" t="s">
        <v>13</v>
      </c>
      <c r="G15" s="1">
        <v>20308</v>
      </c>
    </row>
    <row r="16" spans="2:7" ht="12.75">
      <c r="B16" t="s">
        <v>11</v>
      </c>
      <c r="C16">
        <f>C14-C15</f>
        <v>31400</v>
      </c>
      <c r="D16" t="s">
        <v>14</v>
      </c>
      <c r="E16">
        <v>630</v>
      </c>
      <c r="F16" t="s">
        <v>14</v>
      </c>
      <c r="G16">
        <v>1140</v>
      </c>
    </row>
    <row r="19" spans="1:7" ht="12.75">
      <c r="A19" s="2" t="s">
        <v>17</v>
      </c>
      <c r="B19" s="2" t="s">
        <v>2</v>
      </c>
      <c r="C19" s="2"/>
      <c r="D19" s="2" t="s">
        <v>4</v>
      </c>
      <c r="E19" s="2"/>
      <c r="F19" s="2" t="s">
        <v>5</v>
      </c>
      <c r="G19" s="2"/>
    </row>
    <row r="20" spans="2:7" ht="12.75">
      <c r="B20" t="s">
        <v>7</v>
      </c>
      <c r="C20">
        <f>C15</f>
        <v>1100</v>
      </c>
      <c r="D20" t="s">
        <v>7</v>
      </c>
      <c r="E20">
        <f>E16</f>
        <v>630</v>
      </c>
      <c r="F20" t="s">
        <v>7</v>
      </c>
      <c r="G20">
        <f>G16</f>
        <v>1140</v>
      </c>
    </row>
    <row r="21" spans="2:7" ht="12.75">
      <c r="B21" t="s">
        <v>8</v>
      </c>
      <c r="C21">
        <v>33560</v>
      </c>
      <c r="D21" t="s">
        <v>8</v>
      </c>
      <c r="E21" t="s">
        <v>15</v>
      </c>
      <c r="F21" t="s">
        <v>8</v>
      </c>
      <c r="G21" t="s">
        <v>15</v>
      </c>
    </row>
    <row r="22" spans="2:7" ht="12.75">
      <c r="B22" t="s">
        <v>9</v>
      </c>
      <c r="C22">
        <f>SUM(C20:C21)</f>
        <v>34660</v>
      </c>
      <c r="D22" t="s">
        <v>12</v>
      </c>
      <c r="E22" s="1">
        <f>C24*33/100</f>
        <v>10992.3</v>
      </c>
      <c r="F22" t="s">
        <v>12</v>
      </c>
      <c r="G22" s="1">
        <f>C24*65.6/100</f>
        <v>21851.36</v>
      </c>
    </row>
    <row r="23" spans="2:7" ht="12.75">
      <c r="B23" t="s">
        <v>10</v>
      </c>
      <c r="C23">
        <v>1350</v>
      </c>
      <c r="D23" t="s">
        <v>13</v>
      </c>
      <c r="E23" s="1">
        <v>10872</v>
      </c>
      <c r="F23" t="s">
        <v>13</v>
      </c>
      <c r="G23" s="1">
        <v>21441</v>
      </c>
    </row>
    <row r="24" spans="2:7" ht="12.75">
      <c r="B24" t="s">
        <v>11</v>
      </c>
      <c r="C24">
        <f>C22-C23</f>
        <v>33310</v>
      </c>
      <c r="D24" t="s">
        <v>14</v>
      </c>
      <c r="E24">
        <v>750</v>
      </c>
      <c r="F24" t="s">
        <v>14</v>
      </c>
      <c r="G24">
        <v>1550</v>
      </c>
    </row>
    <row r="27" spans="1:7" ht="12.75">
      <c r="A27" s="2" t="s">
        <v>18</v>
      </c>
      <c r="B27" s="2" t="s">
        <v>2</v>
      </c>
      <c r="C27" s="2"/>
      <c r="D27" s="2" t="s">
        <v>4</v>
      </c>
      <c r="E27" s="2"/>
      <c r="F27" s="2" t="s">
        <v>5</v>
      </c>
      <c r="G27" s="2"/>
    </row>
    <row r="28" spans="2:7" ht="12.75">
      <c r="B28" t="s">
        <v>7</v>
      </c>
      <c r="C28">
        <f>C23</f>
        <v>1350</v>
      </c>
      <c r="D28" t="s">
        <v>7</v>
      </c>
      <c r="E28">
        <f>E24</f>
        <v>750</v>
      </c>
      <c r="F28" t="s">
        <v>7</v>
      </c>
      <c r="G28">
        <f>G24</f>
        <v>1550</v>
      </c>
    </row>
    <row r="29" spans="2:7" ht="12.75">
      <c r="B29" t="s">
        <v>8</v>
      </c>
      <c r="C29">
        <v>35850</v>
      </c>
      <c r="D29" t="s">
        <v>8</v>
      </c>
      <c r="E29" t="s">
        <v>15</v>
      </c>
      <c r="F29" t="s">
        <v>8</v>
      </c>
      <c r="G29" t="s">
        <v>15</v>
      </c>
    </row>
    <row r="30" spans="2:7" ht="12.75">
      <c r="B30" t="s">
        <v>9</v>
      </c>
      <c r="C30">
        <f>SUM(C28:C29)</f>
        <v>37200</v>
      </c>
      <c r="D30" t="s">
        <v>12</v>
      </c>
      <c r="E30" s="1">
        <f>C32*33/100</f>
        <v>11764.5</v>
      </c>
      <c r="F30" t="s">
        <v>12</v>
      </c>
      <c r="G30" s="1">
        <f>C32*65.6/100</f>
        <v>23386.4</v>
      </c>
    </row>
    <row r="31" spans="2:7" ht="12.75">
      <c r="B31" t="s">
        <v>10</v>
      </c>
      <c r="C31">
        <v>1550</v>
      </c>
      <c r="D31" t="s">
        <v>13</v>
      </c>
      <c r="E31" s="1">
        <v>11615</v>
      </c>
      <c r="F31" t="s">
        <v>13</v>
      </c>
      <c r="G31" s="1">
        <v>23336</v>
      </c>
    </row>
    <row r="32" spans="2:7" ht="12.75">
      <c r="B32" t="s">
        <v>11</v>
      </c>
      <c r="C32">
        <f>C30-C31</f>
        <v>35650</v>
      </c>
      <c r="D32" t="s">
        <v>14</v>
      </c>
      <c r="E32">
        <v>900</v>
      </c>
      <c r="F32" t="s">
        <v>14</v>
      </c>
      <c r="G32">
        <v>1600</v>
      </c>
    </row>
    <row r="35" spans="1:7" ht="12.75">
      <c r="A35" s="2" t="s">
        <v>19</v>
      </c>
      <c r="B35" s="2" t="s">
        <v>2</v>
      </c>
      <c r="C35" s="2"/>
      <c r="D35" s="2" t="s">
        <v>4</v>
      </c>
      <c r="E35" s="2"/>
      <c r="F35" s="2" t="s">
        <v>5</v>
      </c>
      <c r="G35" s="2"/>
    </row>
    <row r="36" spans="2:7" ht="12.75">
      <c r="B36" t="s">
        <v>7</v>
      </c>
      <c r="C36">
        <f>C31</f>
        <v>1550</v>
      </c>
      <c r="D36" t="s">
        <v>7</v>
      </c>
      <c r="E36">
        <f>E32</f>
        <v>900</v>
      </c>
      <c r="F36" t="s">
        <v>7</v>
      </c>
      <c r="G36">
        <f>G32</f>
        <v>1600</v>
      </c>
    </row>
    <row r="37" spans="2:7" ht="12.75">
      <c r="B37" t="s">
        <v>8</v>
      </c>
      <c r="C37">
        <v>36500</v>
      </c>
      <c r="D37" t="s">
        <v>8</v>
      </c>
      <c r="E37" t="s">
        <v>15</v>
      </c>
      <c r="F37" t="s">
        <v>8</v>
      </c>
      <c r="G37" t="s">
        <v>15</v>
      </c>
    </row>
    <row r="38" spans="2:7" ht="12.75">
      <c r="B38" t="s">
        <v>9</v>
      </c>
      <c r="C38">
        <f>SUM(C36:C37)</f>
        <v>38050</v>
      </c>
      <c r="D38" t="s">
        <v>12</v>
      </c>
      <c r="E38" s="1">
        <f>C40*33/100</f>
        <v>11979</v>
      </c>
      <c r="F38" t="s">
        <v>12</v>
      </c>
      <c r="G38" s="1">
        <f>C40*65.6/100</f>
        <v>23812.8</v>
      </c>
    </row>
    <row r="39" spans="2:7" ht="12.75">
      <c r="B39" t="s">
        <v>10</v>
      </c>
      <c r="C39">
        <v>1750</v>
      </c>
      <c r="D39" t="s">
        <v>13</v>
      </c>
      <c r="E39" s="1">
        <v>11879</v>
      </c>
      <c r="F39" t="s">
        <v>13</v>
      </c>
      <c r="G39" s="1">
        <v>23663</v>
      </c>
    </row>
    <row r="40" spans="2:7" ht="12.75">
      <c r="B40" t="s">
        <v>11</v>
      </c>
      <c r="C40">
        <f>C38-C39</f>
        <v>36300</v>
      </c>
      <c r="D40" t="s">
        <v>14</v>
      </c>
      <c r="E40">
        <v>1000</v>
      </c>
      <c r="F40" t="s">
        <v>14</v>
      </c>
      <c r="G40">
        <v>1750</v>
      </c>
    </row>
    <row r="43" spans="1:7" ht="12.75">
      <c r="A43" s="2" t="s">
        <v>20</v>
      </c>
      <c r="B43" s="2" t="s">
        <v>2</v>
      </c>
      <c r="C43" s="2"/>
      <c r="D43" s="2" t="s">
        <v>4</v>
      </c>
      <c r="E43" s="2"/>
      <c r="F43" s="2" t="s">
        <v>5</v>
      </c>
      <c r="G43" s="2"/>
    </row>
    <row r="44" spans="2:7" ht="12.75">
      <c r="B44" t="s">
        <v>7</v>
      </c>
      <c r="C44">
        <f>C39</f>
        <v>1750</v>
      </c>
      <c r="D44" t="s">
        <v>7</v>
      </c>
      <c r="E44">
        <f>E40</f>
        <v>1000</v>
      </c>
      <c r="F44" t="s">
        <v>7</v>
      </c>
      <c r="G44">
        <f>G40</f>
        <v>1750</v>
      </c>
    </row>
    <row r="45" spans="2:7" ht="12.75">
      <c r="B45" t="s">
        <v>8</v>
      </c>
      <c r="C45">
        <v>38000</v>
      </c>
      <c r="D45" t="s">
        <v>8</v>
      </c>
      <c r="E45" t="s">
        <v>15</v>
      </c>
      <c r="F45" t="s">
        <v>8</v>
      </c>
      <c r="G45" t="s">
        <v>15</v>
      </c>
    </row>
    <row r="46" spans="2:7" ht="12.75">
      <c r="B46" t="s">
        <v>9</v>
      </c>
      <c r="C46">
        <f>SUM(C44:C45)</f>
        <v>39750</v>
      </c>
      <c r="D46" t="s">
        <v>12</v>
      </c>
      <c r="E46" s="1">
        <f>C48*33/100</f>
        <v>12457.5</v>
      </c>
      <c r="F46" t="s">
        <v>12</v>
      </c>
      <c r="G46" s="1">
        <f>C48*65.6/100</f>
        <v>24764</v>
      </c>
    </row>
    <row r="47" spans="2:7" ht="12.75">
      <c r="B47" t="s">
        <v>10</v>
      </c>
      <c r="C47">
        <v>2000</v>
      </c>
      <c r="D47" t="s">
        <v>13</v>
      </c>
      <c r="E47" s="1">
        <v>12408</v>
      </c>
      <c r="F47" t="s">
        <v>13</v>
      </c>
      <c r="G47" s="1">
        <v>24514</v>
      </c>
    </row>
    <row r="48" spans="2:7" ht="12.75">
      <c r="B48" t="s">
        <v>11</v>
      </c>
      <c r="C48">
        <f>C46-C47</f>
        <v>37750</v>
      </c>
      <c r="D48" t="s">
        <v>14</v>
      </c>
      <c r="E48">
        <v>1050</v>
      </c>
      <c r="F48" t="s">
        <v>14</v>
      </c>
      <c r="G48">
        <v>2000</v>
      </c>
    </row>
    <row r="51" spans="1:7" ht="12.75">
      <c r="A51" s="2" t="s">
        <v>21</v>
      </c>
      <c r="B51" s="2" t="s">
        <v>2</v>
      </c>
      <c r="C51" s="2"/>
      <c r="D51" s="2" t="s">
        <v>4</v>
      </c>
      <c r="E51" s="2"/>
      <c r="F51" s="2" t="s">
        <v>5</v>
      </c>
      <c r="G51" s="2"/>
    </row>
    <row r="52" spans="2:7" ht="12.75">
      <c r="B52" t="s">
        <v>7</v>
      </c>
      <c r="C52">
        <f>C47</f>
        <v>2000</v>
      </c>
      <c r="D52" t="s">
        <v>7</v>
      </c>
      <c r="E52">
        <f>E48</f>
        <v>1050</v>
      </c>
      <c r="F52" t="s">
        <v>7</v>
      </c>
      <c r="G52">
        <f>G48</f>
        <v>2000</v>
      </c>
    </row>
    <row r="53" spans="2:7" ht="12.75">
      <c r="B53" t="s">
        <v>8</v>
      </c>
      <c r="C53">
        <v>38500</v>
      </c>
      <c r="D53" t="s">
        <v>8</v>
      </c>
      <c r="E53" t="s">
        <v>15</v>
      </c>
      <c r="F53" t="s">
        <v>8</v>
      </c>
      <c r="G53" t="s">
        <v>15</v>
      </c>
    </row>
    <row r="54" spans="2:7" ht="12.75">
      <c r="B54" t="s">
        <v>9</v>
      </c>
      <c r="C54">
        <f>SUM(C52:C53)</f>
        <v>40500</v>
      </c>
      <c r="D54" t="s">
        <v>12</v>
      </c>
      <c r="E54" s="1">
        <f>C56*33/100</f>
        <v>12705</v>
      </c>
      <c r="F54" t="s">
        <v>12</v>
      </c>
      <c r="G54" s="1">
        <f>C56*65.6/100</f>
        <v>25256</v>
      </c>
    </row>
    <row r="55" spans="2:7" ht="12.75">
      <c r="B55" t="s">
        <v>10</v>
      </c>
      <c r="C55">
        <v>2000</v>
      </c>
      <c r="D55" t="s">
        <v>13</v>
      </c>
      <c r="E55" s="1">
        <v>12655</v>
      </c>
      <c r="F55" t="s">
        <v>13</v>
      </c>
      <c r="G55" s="1">
        <v>25156</v>
      </c>
    </row>
    <row r="56" spans="2:7" ht="12.75">
      <c r="B56" t="s">
        <v>11</v>
      </c>
      <c r="C56">
        <f>C54-C55</f>
        <v>38500</v>
      </c>
      <c r="D56" t="s">
        <v>14</v>
      </c>
      <c r="E56">
        <v>1100</v>
      </c>
      <c r="F56" t="s">
        <v>14</v>
      </c>
      <c r="G56">
        <v>2100</v>
      </c>
    </row>
    <row r="60" ht="12.75">
      <c r="B60" t="s">
        <v>112</v>
      </c>
    </row>
    <row r="61" spans="2:3" ht="12.75">
      <c r="B61" t="s">
        <v>4</v>
      </c>
      <c r="C61" s="111">
        <v>0.33</v>
      </c>
    </row>
    <row r="62" spans="2:3" ht="12.75">
      <c r="B62" t="s">
        <v>5</v>
      </c>
      <c r="C62" s="110">
        <v>0.656</v>
      </c>
    </row>
    <row r="63" spans="2:3" ht="12.75">
      <c r="B63" t="s">
        <v>115</v>
      </c>
      <c r="C63" s="110">
        <v>0.014</v>
      </c>
    </row>
    <row r="67" ht="12.75">
      <c r="A67" s="179" t="s">
        <v>228</v>
      </c>
    </row>
  </sheetData>
  <mergeCells count="1">
    <mergeCell ref="A1:G1"/>
  </mergeCells>
  <hyperlinks>
    <hyperlink ref="A67" r:id="rId1" display="www.cottonyarnmarket.net"/>
  </hyperlinks>
  <printOptions/>
  <pageMargins left="0.84" right="0.75" top="0.71" bottom="0.17" header="0.17" footer="0.19"/>
  <pageSetup horizontalDpi="600" verticalDpi="600" orientation="portrait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B1">
      <selection activeCell="B15" sqref="B15"/>
    </sheetView>
  </sheetViews>
  <sheetFormatPr defaultColWidth="9.140625" defaultRowHeight="12.75"/>
  <cols>
    <col min="1" max="1" width="35.00390625" style="0" bestFit="1" customWidth="1"/>
    <col min="2" max="2" width="14.421875" style="0" bestFit="1" customWidth="1"/>
    <col min="3" max="5" width="14.8515625" style="0" bestFit="1" customWidth="1"/>
    <col min="6" max="8" width="14.421875" style="0" bestFit="1" customWidth="1"/>
  </cols>
  <sheetData>
    <row r="1" spans="1:8" ht="19.5" customHeight="1" thickBot="1">
      <c r="A1" s="197" t="s">
        <v>167</v>
      </c>
      <c r="B1" s="198"/>
      <c r="C1" s="198"/>
      <c r="D1" s="198"/>
      <c r="E1" s="198"/>
      <c r="F1" s="198"/>
      <c r="G1" s="198"/>
      <c r="H1" s="198"/>
    </row>
    <row r="2" spans="1:8" ht="19.5" customHeight="1" thickBot="1">
      <c r="A2" s="130" t="s">
        <v>25</v>
      </c>
      <c r="B2" s="131" t="s">
        <v>92</v>
      </c>
      <c r="C2" s="131" t="s">
        <v>16</v>
      </c>
      <c r="D2" s="131" t="s">
        <v>17</v>
      </c>
      <c r="E2" s="131" t="s">
        <v>18</v>
      </c>
      <c r="F2" s="131" t="s">
        <v>19</v>
      </c>
      <c r="G2" s="132" t="s">
        <v>20</v>
      </c>
      <c r="H2" s="167" t="s">
        <v>21</v>
      </c>
    </row>
    <row r="3" spans="1:8" ht="19.5" customHeight="1">
      <c r="A3" s="133" t="s">
        <v>168</v>
      </c>
      <c r="B3" s="134">
        <f>'profitability stm'!B70</f>
        <v>828113.7560173417</v>
      </c>
      <c r="C3" s="134">
        <f>'profitability stm'!C70</f>
        <v>3371217.5777499974</v>
      </c>
      <c r="D3" s="134">
        <f>'profitability stm'!D70</f>
        <v>3672748.4140626723</v>
      </c>
      <c r="E3" s="134">
        <f>'profitability stm'!E70</f>
        <v>4172774.7226975355</v>
      </c>
      <c r="F3" s="134">
        <f>'profitability stm'!F70</f>
        <v>4573852.254923637</v>
      </c>
      <c r="G3" s="162">
        <f>'profitability stm'!G70</f>
        <v>4802971.476233032</v>
      </c>
      <c r="H3" s="168">
        <f>'profitability stm'!H70</f>
        <v>4933858.717046617</v>
      </c>
    </row>
    <row r="4" spans="1:8" ht="19.5" customHeight="1">
      <c r="A4" s="133" t="s">
        <v>169</v>
      </c>
      <c r="B4" s="134">
        <f>'profitability stm'!B62</f>
        <v>1267814.6999999997</v>
      </c>
      <c r="C4" s="134">
        <f>'profitability stm'!C62</f>
        <v>1077642.4949999999</v>
      </c>
      <c r="D4" s="134">
        <f>'profitability stm'!D62</f>
        <v>915996.12075</v>
      </c>
      <c r="E4" s="134">
        <f>'profitability stm'!E62</f>
        <v>778596.7026375</v>
      </c>
      <c r="F4" s="134">
        <f>'profitability stm'!F62</f>
        <v>661807.197241875</v>
      </c>
      <c r="G4" s="162">
        <f>'profitability stm'!G62</f>
        <v>562536.1176555938</v>
      </c>
      <c r="H4" s="169">
        <f>'profitability stm'!H62</f>
        <v>478155.7000072547</v>
      </c>
    </row>
    <row r="5" spans="1:8" ht="19.5" customHeight="1">
      <c r="A5" s="133" t="s">
        <v>159</v>
      </c>
      <c r="B5" s="134">
        <f>'profitability stm'!B60</f>
        <v>1395833.3550000004</v>
      </c>
      <c r="C5" s="134">
        <f>'profitability stm'!C60</f>
        <v>1258334.07</v>
      </c>
      <c r="D5" s="134">
        <f>'profitability stm'!D60</f>
        <v>1058335.1100000003</v>
      </c>
      <c r="E5" s="134">
        <f>'profitability stm'!E60</f>
        <v>858336.1500000001</v>
      </c>
      <c r="F5" s="134">
        <f>'profitability stm'!F60</f>
        <v>658337.19</v>
      </c>
      <c r="G5" s="163">
        <f>'profitability stm'!G60</f>
        <v>458338.2300000001</v>
      </c>
      <c r="H5" s="170">
        <f>'profitability stm'!H60</f>
        <v>258339.27000000002</v>
      </c>
    </row>
    <row r="6" spans="1:8" ht="19.5" customHeight="1">
      <c r="A6" s="133"/>
      <c r="B6" s="134"/>
      <c r="C6" s="134"/>
      <c r="D6" s="134"/>
      <c r="E6" s="134"/>
      <c r="F6" s="134"/>
      <c r="G6" s="162"/>
      <c r="H6" s="169"/>
    </row>
    <row r="7" spans="1:8" ht="36.75" customHeight="1">
      <c r="A7" s="135" t="s">
        <v>170</v>
      </c>
      <c r="B7" s="136">
        <f aca="true" t="shared" si="0" ref="B7:H7">SUM(B3:B6)</f>
        <v>3491761.811017342</v>
      </c>
      <c r="C7" s="136">
        <f t="shared" si="0"/>
        <v>5707194.142749998</v>
      </c>
      <c r="D7" s="136">
        <f t="shared" si="0"/>
        <v>5647079.644812672</v>
      </c>
      <c r="E7" s="136">
        <f t="shared" si="0"/>
        <v>5809707.575335036</v>
      </c>
      <c r="F7" s="136">
        <f t="shared" si="0"/>
        <v>5893996.642165512</v>
      </c>
      <c r="G7" s="164">
        <f t="shared" si="0"/>
        <v>5823845.823888626</v>
      </c>
      <c r="H7" s="171">
        <f t="shared" si="0"/>
        <v>5670353.68705387</v>
      </c>
    </row>
    <row r="8" spans="1:8" ht="19.5" customHeight="1">
      <c r="A8" s="133" t="s">
        <v>171</v>
      </c>
      <c r="B8" s="137">
        <f>'REP SCH FOR U 4'!C20</f>
        <v>357141</v>
      </c>
      <c r="C8" s="134">
        <f>'REP SCH FOR U 4'!C37</f>
        <v>1428564</v>
      </c>
      <c r="D8" s="134">
        <f>'REP SCH FOR U 4'!C54</f>
        <v>1428564</v>
      </c>
      <c r="E8" s="134">
        <f>D8</f>
        <v>1428564</v>
      </c>
      <c r="F8" s="134">
        <f>E8</f>
        <v>1428564</v>
      </c>
      <c r="G8" s="162">
        <f>F8</f>
        <v>1428564</v>
      </c>
      <c r="H8" s="169">
        <f>G8</f>
        <v>1428564</v>
      </c>
    </row>
    <row r="9" spans="1:8" ht="19.5" customHeight="1">
      <c r="A9" s="133" t="s">
        <v>172</v>
      </c>
      <c r="B9" s="134">
        <f>'REP SCH FOR U 4'!D20</f>
        <v>1395833.3550000004</v>
      </c>
      <c r="C9" s="134">
        <f>'REP SCH FOR U 4'!D37</f>
        <v>1258334.07</v>
      </c>
      <c r="D9" s="134">
        <f>'REP SCH FOR U 4'!D54</f>
        <v>1058335.1100000003</v>
      </c>
      <c r="E9" s="134">
        <f>'REP SCH FOR U 4'!D71</f>
        <v>858336.1500000001</v>
      </c>
      <c r="F9" s="134">
        <f>'REP SCH FOR U 4'!D88</f>
        <v>658337.19</v>
      </c>
      <c r="G9" s="162">
        <f>'REP SCH FOR U 4'!D105</f>
        <v>458338.2300000001</v>
      </c>
      <c r="H9" s="169">
        <f>'REP SCH FOR U 4'!D122</f>
        <v>258339.27000000002</v>
      </c>
    </row>
    <row r="10" spans="1:8" ht="19.5" customHeight="1">
      <c r="A10" s="133"/>
      <c r="B10" s="134"/>
      <c r="C10" s="134"/>
      <c r="D10" s="134"/>
      <c r="E10" s="134"/>
      <c r="F10" s="134"/>
      <c r="G10" s="162"/>
      <c r="H10" s="169"/>
    </row>
    <row r="11" spans="1:8" ht="19.5" customHeight="1">
      <c r="A11" s="135" t="s">
        <v>173</v>
      </c>
      <c r="B11" s="136">
        <f aca="true" t="shared" si="1" ref="B11:H11">SUM(B8:B10)</f>
        <v>1752974.3550000004</v>
      </c>
      <c r="C11" s="136">
        <f t="shared" si="1"/>
        <v>2686898.0700000003</v>
      </c>
      <c r="D11" s="136">
        <f t="shared" si="1"/>
        <v>2486899.1100000003</v>
      </c>
      <c r="E11" s="136">
        <f t="shared" si="1"/>
        <v>2286900.1500000004</v>
      </c>
      <c r="F11" s="136">
        <f t="shared" si="1"/>
        <v>2086901.19</v>
      </c>
      <c r="G11" s="165">
        <f t="shared" si="1"/>
        <v>1886902.23</v>
      </c>
      <c r="H11" s="172">
        <f t="shared" si="1"/>
        <v>1686903.27</v>
      </c>
    </row>
    <row r="12" spans="1:8" ht="31.5" customHeight="1" thickBot="1">
      <c r="A12" s="140" t="s">
        <v>174</v>
      </c>
      <c r="B12" s="139">
        <f aca="true" t="shared" si="2" ref="B12:H12">B7/B11</f>
        <v>1.9919069557736577</v>
      </c>
      <c r="C12" s="139">
        <f t="shared" si="2"/>
        <v>2.1240828621198857</v>
      </c>
      <c r="D12" s="139">
        <f t="shared" si="2"/>
        <v>2.2707312983085477</v>
      </c>
      <c r="E12" s="139">
        <f t="shared" si="2"/>
        <v>2.5404290499237736</v>
      </c>
      <c r="F12" s="139">
        <f t="shared" si="2"/>
        <v>2.8242816049022004</v>
      </c>
      <c r="G12" s="166">
        <f t="shared" si="2"/>
        <v>3.0864587106289156</v>
      </c>
      <c r="H12" s="173">
        <f t="shared" si="2"/>
        <v>3.36139824250496</v>
      </c>
    </row>
    <row r="13" spans="1:8" ht="19.5" customHeight="1" thickBot="1">
      <c r="A13" s="147" t="s">
        <v>175</v>
      </c>
      <c r="B13" s="138"/>
      <c r="C13" s="195">
        <f>SUM(B12:H12)/7</f>
        <v>2.599898389165992</v>
      </c>
      <c r="D13" s="196"/>
      <c r="E13" s="196"/>
      <c r="F13" s="196"/>
      <c r="G13" s="196"/>
      <c r="H13" s="174"/>
    </row>
    <row r="15" ht="12.75">
      <c r="B15" s="179" t="s">
        <v>228</v>
      </c>
    </row>
  </sheetData>
  <mergeCells count="2">
    <mergeCell ref="C13:G13"/>
    <mergeCell ref="A1:H1"/>
  </mergeCells>
  <hyperlinks>
    <hyperlink ref="B15" r:id="rId1" display="www.cottonyarnmarket.net"/>
  </hyperlinks>
  <printOptions/>
  <pageMargins left="0.75" right="0.75" top="1" bottom="1" header="0.5" footer="0.5"/>
  <pageSetup horizontalDpi="180" verticalDpi="180" orientation="landscape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3"/>
  <sheetViews>
    <sheetView workbookViewId="0" topLeftCell="A79">
      <selection activeCell="A83" sqref="A83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140625" style="0" customWidth="1"/>
    <col min="4" max="4" width="10.57421875" style="0" customWidth="1"/>
    <col min="5" max="5" width="19.140625" style="0" customWidth="1"/>
    <col min="6" max="6" width="21.421875" style="0" customWidth="1"/>
    <col min="7" max="7" width="7.7109375" style="0" customWidth="1"/>
    <col min="8" max="8" width="8.00390625" style="0" customWidth="1"/>
    <col min="9" max="9" width="14.00390625" style="0" bestFit="1" customWidth="1"/>
    <col min="10" max="10" width="8.140625" style="0" customWidth="1"/>
    <col min="12" max="12" width="9.57421875" style="0" customWidth="1"/>
    <col min="13" max="13" width="10.8515625" style="0" customWidth="1"/>
    <col min="14" max="14" width="9.8515625" style="0" customWidth="1"/>
    <col min="17" max="17" width="9.8515625" style="0" customWidth="1"/>
    <col min="18" max="19" width="9.57421875" style="0" customWidth="1"/>
  </cols>
  <sheetData>
    <row r="1" spans="1:12" ht="26.25" customHeight="1">
      <c r="A1" s="199" t="s">
        <v>223</v>
      </c>
      <c r="B1" s="200"/>
      <c r="C1" s="200"/>
      <c r="D1" s="200"/>
      <c r="E1" s="200"/>
      <c r="F1" s="200"/>
      <c r="G1" s="201"/>
      <c r="H1" s="87"/>
      <c r="I1" s="87"/>
      <c r="J1" s="87"/>
      <c r="K1" s="87"/>
      <c r="L1" s="87"/>
    </row>
    <row r="2" spans="1:12" ht="26.25" customHeight="1">
      <c r="A2" s="202" t="s">
        <v>221</v>
      </c>
      <c r="B2" s="203"/>
      <c r="C2" s="203"/>
      <c r="D2" s="203"/>
      <c r="E2" s="203"/>
      <c r="F2" s="203"/>
      <c r="G2" s="175"/>
      <c r="H2" s="87"/>
      <c r="I2" s="87"/>
      <c r="J2" s="87"/>
      <c r="K2" s="87"/>
      <c r="L2" s="87"/>
    </row>
    <row r="3" spans="1:20" ht="25.5" customHeight="1">
      <c r="A3" s="88" t="s">
        <v>77</v>
      </c>
      <c r="B3" s="88" t="s">
        <v>25</v>
      </c>
      <c r="C3" s="88" t="s">
        <v>135</v>
      </c>
      <c r="D3" s="88" t="s">
        <v>78</v>
      </c>
      <c r="E3" s="88" t="s">
        <v>79</v>
      </c>
      <c r="F3" s="88" t="s">
        <v>80</v>
      </c>
      <c r="G3" s="23"/>
      <c r="H3" s="89"/>
      <c r="I3" s="90"/>
      <c r="J3" s="89"/>
      <c r="K3" s="90"/>
      <c r="L3" s="89"/>
      <c r="M3" s="90"/>
      <c r="N3" s="89"/>
      <c r="O3" s="90"/>
      <c r="P3" s="89"/>
      <c r="Q3" s="90"/>
      <c r="R3" s="89"/>
      <c r="S3" s="90"/>
      <c r="T3" s="89"/>
    </row>
    <row r="4" spans="1:20" ht="34.5" customHeight="1">
      <c r="A4" s="91" t="s">
        <v>92</v>
      </c>
      <c r="B4" s="58" t="s">
        <v>134</v>
      </c>
      <c r="C4" s="58">
        <f>2229029</f>
        <v>2229029</v>
      </c>
      <c r="D4" s="114">
        <v>0.15</v>
      </c>
      <c r="E4" s="94">
        <f aca="true" t="shared" si="0" ref="E4:E10">C4*D4</f>
        <v>334354.35</v>
      </c>
      <c r="F4" s="94">
        <f aca="true" t="shared" si="1" ref="F4:F10">C4-E4</f>
        <v>1894674.65</v>
      </c>
      <c r="G4" s="23"/>
      <c r="H4" s="92"/>
      <c r="I4" s="90"/>
      <c r="J4" s="90"/>
      <c r="K4" s="90"/>
      <c r="L4" s="89"/>
      <c r="M4" s="90"/>
      <c r="N4" s="89"/>
      <c r="O4" s="90"/>
      <c r="P4" s="89"/>
      <c r="Q4" s="90"/>
      <c r="R4" s="89"/>
      <c r="S4" s="89"/>
      <c r="T4" s="93"/>
    </row>
    <row r="5" spans="1:20" ht="24.75" customHeight="1">
      <c r="A5" s="12"/>
      <c r="B5" s="58" t="s">
        <v>136</v>
      </c>
      <c r="C5" s="96">
        <f>19094+168158+19503</f>
        <v>206755</v>
      </c>
      <c r="D5" s="114">
        <v>0.15</v>
      </c>
      <c r="E5" s="94">
        <f t="shared" si="0"/>
        <v>31013.25</v>
      </c>
      <c r="F5" s="94">
        <f t="shared" si="1"/>
        <v>175741.75</v>
      </c>
      <c r="G5" s="2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5"/>
      <c r="T5" s="93"/>
    </row>
    <row r="6" spans="1:20" ht="24.75" customHeight="1">
      <c r="A6" s="12"/>
      <c r="B6" s="58" t="s">
        <v>137</v>
      </c>
      <c r="C6" s="96">
        <v>1016873</v>
      </c>
      <c r="D6" s="114">
        <v>0.15</v>
      </c>
      <c r="E6" s="94">
        <f t="shared" si="0"/>
        <v>152530.94999999998</v>
      </c>
      <c r="F6" s="94">
        <f t="shared" si="1"/>
        <v>864342.05</v>
      </c>
      <c r="G6" s="23"/>
      <c r="H6" s="93"/>
      <c r="I6" s="93"/>
      <c r="J6" s="93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 ht="24.75" customHeight="1">
      <c r="A7" s="12"/>
      <c r="B7" s="58" t="s">
        <v>138</v>
      </c>
      <c r="C7" s="96">
        <v>2000000</v>
      </c>
      <c r="D7" s="114">
        <v>0.15</v>
      </c>
      <c r="E7" s="94">
        <f t="shared" si="0"/>
        <v>300000</v>
      </c>
      <c r="F7" s="94">
        <f t="shared" si="1"/>
        <v>1700000</v>
      </c>
      <c r="G7" s="23"/>
      <c r="H7" s="93"/>
      <c r="I7" s="93"/>
      <c r="J7" s="93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24.75" customHeight="1">
      <c r="A8" s="12"/>
      <c r="B8" s="58" t="s">
        <v>214</v>
      </c>
      <c r="C8" s="96">
        <v>310000</v>
      </c>
      <c r="D8" s="114">
        <v>0.15</v>
      </c>
      <c r="E8" s="94">
        <f t="shared" si="0"/>
        <v>46500</v>
      </c>
      <c r="F8" s="94">
        <f t="shared" si="1"/>
        <v>263500</v>
      </c>
      <c r="G8" s="23"/>
      <c r="H8" s="93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24.75" customHeight="1">
      <c r="A9" s="12"/>
      <c r="B9" s="58" t="s">
        <v>139</v>
      </c>
      <c r="C9" s="96">
        <v>925557</v>
      </c>
      <c r="D9" s="114">
        <v>0.15</v>
      </c>
      <c r="E9" s="94">
        <f t="shared" si="0"/>
        <v>138833.55</v>
      </c>
      <c r="F9" s="94">
        <f t="shared" si="1"/>
        <v>786723.45</v>
      </c>
      <c r="G9" s="23"/>
      <c r="H9" s="93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 ht="24.75" customHeight="1">
      <c r="A10" s="5"/>
      <c r="B10" s="12" t="s">
        <v>213</v>
      </c>
      <c r="C10" s="94">
        <f>564511+450404+257440+415029+76500</f>
        <v>1763884</v>
      </c>
      <c r="D10" s="114">
        <v>0.15</v>
      </c>
      <c r="E10" s="94">
        <f t="shared" si="0"/>
        <v>264582.6</v>
      </c>
      <c r="F10" s="94">
        <f t="shared" si="1"/>
        <v>1499301.4</v>
      </c>
      <c r="G10" s="5"/>
      <c r="H10" s="93"/>
      <c r="I10" s="93"/>
      <c r="J10" s="93"/>
      <c r="K10" s="93"/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24.75" customHeight="1">
      <c r="A11" s="5"/>
      <c r="B11" s="12" t="s">
        <v>81</v>
      </c>
      <c r="C11" s="94">
        <v>600000</v>
      </c>
      <c r="D11" s="114"/>
      <c r="E11" s="94"/>
      <c r="F11" s="94">
        <f>C11</f>
        <v>600000</v>
      </c>
      <c r="G11" s="5"/>
      <c r="H11" s="93"/>
      <c r="I11" s="93"/>
      <c r="J11" s="93"/>
      <c r="K11" s="93"/>
      <c r="L11" s="97"/>
      <c r="M11" s="97"/>
      <c r="N11" s="97"/>
      <c r="O11" s="97"/>
      <c r="P11" s="97"/>
      <c r="Q11" s="97"/>
      <c r="R11" s="97"/>
      <c r="S11" s="97"/>
      <c r="T11" s="97"/>
    </row>
    <row r="12" spans="1:20" ht="24.75" customHeight="1">
      <c r="A12" s="5"/>
      <c r="B12" s="88" t="s">
        <v>9</v>
      </c>
      <c r="C12" s="98">
        <f>SUM(C4:C11)</f>
        <v>9052098</v>
      </c>
      <c r="D12" s="12"/>
      <c r="E12" s="98">
        <f>SUM(E4:E10)</f>
        <v>1267814.6999999997</v>
      </c>
      <c r="F12" s="98">
        <f>SUM(F4:F11)</f>
        <v>7784283.300000001</v>
      </c>
      <c r="G12" s="5"/>
      <c r="H12" s="93"/>
      <c r="I12" s="99">
        <f>E12/3*0.5</f>
        <v>211302.44999999995</v>
      </c>
      <c r="J12" s="93"/>
      <c r="K12" s="93"/>
      <c r="L12" s="97"/>
      <c r="M12" s="97"/>
      <c r="N12" s="97"/>
      <c r="O12" s="97"/>
      <c r="P12" s="97"/>
      <c r="Q12" s="97"/>
      <c r="R12" s="97"/>
      <c r="S12" s="97"/>
      <c r="T12" s="97"/>
    </row>
    <row r="13" spans="1:20" ht="15">
      <c r="A13" s="5"/>
      <c r="B13" s="5"/>
      <c r="C13" s="100"/>
      <c r="D13" s="5"/>
      <c r="E13" s="100"/>
      <c r="F13" s="100"/>
      <c r="G13" s="5"/>
      <c r="H13" s="93"/>
      <c r="I13" s="93"/>
      <c r="J13" s="93"/>
      <c r="K13" s="93"/>
      <c r="L13" s="93"/>
      <c r="M13" s="97"/>
      <c r="N13" s="93"/>
      <c r="O13" s="97"/>
      <c r="P13" s="93"/>
      <c r="Q13" s="97"/>
      <c r="R13" s="93"/>
      <c r="S13" s="95"/>
      <c r="T13" s="97"/>
    </row>
    <row r="14" spans="1:20" ht="15">
      <c r="A14" s="5"/>
      <c r="B14" s="5"/>
      <c r="C14" s="100"/>
      <c r="D14" s="5"/>
      <c r="E14" s="100"/>
      <c r="F14" s="100"/>
      <c r="G14" s="5"/>
      <c r="H14" s="93"/>
      <c r="I14" s="93"/>
      <c r="J14" s="93"/>
      <c r="K14" s="93"/>
      <c r="L14" s="93"/>
      <c r="M14" s="97"/>
      <c r="N14" s="93"/>
      <c r="O14" s="97"/>
      <c r="P14" s="93"/>
      <c r="Q14" s="97"/>
      <c r="R14" s="93"/>
      <c r="S14" s="95"/>
      <c r="T14" s="97"/>
    </row>
    <row r="15" spans="1:20" ht="15.75">
      <c r="A15" s="88" t="s">
        <v>77</v>
      </c>
      <c r="B15" s="88" t="s">
        <v>25</v>
      </c>
      <c r="C15" s="88" t="s">
        <v>135</v>
      </c>
      <c r="D15" s="88" t="s">
        <v>78</v>
      </c>
      <c r="E15" s="88" t="s">
        <v>79</v>
      </c>
      <c r="F15" s="88" t="s">
        <v>80</v>
      </c>
      <c r="G15" s="5"/>
      <c r="H15" s="89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7" ht="21.75" customHeight="1">
      <c r="A16" s="91" t="s">
        <v>65</v>
      </c>
      <c r="B16" s="58" t="s">
        <v>134</v>
      </c>
      <c r="C16" s="115">
        <f>F4</f>
        <v>1894674.65</v>
      </c>
      <c r="D16" s="114">
        <v>0.15</v>
      </c>
      <c r="E16" s="94">
        <f aca="true" t="shared" si="2" ref="E16:E22">C16*D16</f>
        <v>284201.19749999995</v>
      </c>
      <c r="F16" s="94">
        <f aca="true" t="shared" si="3" ref="F16:F22">C16-E16</f>
        <v>1610473.4525</v>
      </c>
      <c r="G16" s="5"/>
    </row>
    <row r="17" spans="1:7" ht="23.25" customHeight="1">
      <c r="A17" s="12"/>
      <c r="B17" s="58" t="s">
        <v>136</v>
      </c>
      <c r="C17" s="115">
        <f aca="true" t="shared" si="4" ref="C17:C23">F5</f>
        <v>175741.75</v>
      </c>
      <c r="D17" s="114">
        <v>0.15</v>
      </c>
      <c r="E17" s="94">
        <f t="shared" si="2"/>
        <v>26361.2625</v>
      </c>
      <c r="F17" s="94">
        <f t="shared" si="3"/>
        <v>149380.4875</v>
      </c>
      <c r="G17" s="5"/>
    </row>
    <row r="18" spans="1:7" ht="22.5" customHeight="1">
      <c r="A18" s="12"/>
      <c r="B18" s="58" t="s">
        <v>137</v>
      </c>
      <c r="C18" s="115">
        <f t="shared" si="4"/>
        <v>864342.05</v>
      </c>
      <c r="D18" s="114">
        <v>0.15</v>
      </c>
      <c r="E18" s="94">
        <f t="shared" si="2"/>
        <v>129651.3075</v>
      </c>
      <c r="F18" s="94">
        <f t="shared" si="3"/>
        <v>734690.7425</v>
      </c>
      <c r="G18" s="5"/>
    </row>
    <row r="19" spans="1:7" ht="27.75" customHeight="1">
      <c r="A19" s="12"/>
      <c r="B19" s="58" t="s">
        <v>138</v>
      </c>
      <c r="C19" s="115">
        <f t="shared" si="4"/>
        <v>1700000</v>
      </c>
      <c r="D19" s="114">
        <v>0.15</v>
      </c>
      <c r="E19" s="94">
        <f t="shared" si="2"/>
        <v>255000</v>
      </c>
      <c r="F19" s="94">
        <f t="shared" si="3"/>
        <v>1445000</v>
      </c>
      <c r="G19" s="5"/>
    </row>
    <row r="20" spans="1:7" ht="26.25" customHeight="1">
      <c r="A20" s="12"/>
      <c r="B20" s="58" t="s">
        <v>214</v>
      </c>
      <c r="C20" s="115">
        <f t="shared" si="4"/>
        <v>263500</v>
      </c>
      <c r="D20" s="114">
        <v>0.15</v>
      </c>
      <c r="E20" s="94">
        <f t="shared" si="2"/>
        <v>39525</v>
      </c>
      <c r="F20" s="94">
        <f t="shared" si="3"/>
        <v>223975</v>
      </c>
      <c r="G20" s="5"/>
    </row>
    <row r="21" spans="1:7" ht="23.25" customHeight="1">
      <c r="A21" s="12"/>
      <c r="B21" s="58" t="s">
        <v>139</v>
      </c>
      <c r="C21" s="115">
        <f t="shared" si="4"/>
        <v>786723.45</v>
      </c>
      <c r="D21" s="114">
        <v>0.15</v>
      </c>
      <c r="E21" s="94">
        <f t="shared" si="2"/>
        <v>118008.51749999999</v>
      </c>
      <c r="F21" s="94">
        <f t="shared" si="3"/>
        <v>668714.9325</v>
      </c>
      <c r="G21" s="5"/>
    </row>
    <row r="22" spans="1:7" ht="21" customHeight="1">
      <c r="A22" s="5"/>
      <c r="B22" s="12" t="s">
        <v>213</v>
      </c>
      <c r="C22" s="115">
        <f t="shared" si="4"/>
        <v>1499301.4</v>
      </c>
      <c r="D22" s="114">
        <v>0.15</v>
      </c>
      <c r="E22" s="94">
        <f t="shared" si="2"/>
        <v>224895.21</v>
      </c>
      <c r="F22" s="94">
        <f t="shared" si="3"/>
        <v>1274406.19</v>
      </c>
      <c r="G22" s="5"/>
    </row>
    <row r="23" spans="1:9" ht="22.5" customHeight="1">
      <c r="A23" s="5"/>
      <c r="B23" s="12" t="s">
        <v>81</v>
      </c>
      <c r="C23" s="115">
        <f t="shared" si="4"/>
        <v>600000</v>
      </c>
      <c r="D23" s="114"/>
      <c r="E23" s="94"/>
      <c r="F23" s="94">
        <f>C23</f>
        <v>600000</v>
      </c>
      <c r="G23" s="5"/>
      <c r="I23" s="99">
        <f>E23*0.5/12</f>
        <v>0</v>
      </c>
    </row>
    <row r="24" spans="1:7" ht="30" customHeight="1">
      <c r="A24" s="5"/>
      <c r="B24" s="88" t="s">
        <v>9</v>
      </c>
      <c r="C24" s="98">
        <f>SUM(C16:C23)</f>
        <v>7784283.300000001</v>
      </c>
      <c r="D24" s="12"/>
      <c r="E24" s="98">
        <f>SUM(E16:E22)</f>
        <v>1077642.4949999999</v>
      </c>
      <c r="F24" s="98">
        <f>SUM(F16:F23)</f>
        <v>6706640.805</v>
      </c>
      <c r="G24" s="5"/>
    </row>
    <row r="25" spans="1:7" ht="30" customHeight="1">
      <c r="A25" s="5"/>
      <c r="B25" s="88"/>
      <c r="C25" s="98"/>
      <c r="D25" s="12"/>
      <c r="E25" s="98"/>
      <c r="F25" s="98"/>
      <c r="G25" s="5"/>
    </row>
    <row r="26" spans="1:7" ht="30" customHeight="1">
      <c r="A26" s="88" t="s">
        <v>77</v>
      </c>
      <c r="B26" s="88" t="s">
        <v>25</v>
      </c>
      <c r="C26" s="88" t="s">
        <v>135</v>
      </c>
      <c r="D26" s="88" t="s">
        <v>78</v>
      </c>
      <c r="E26" s="88" t="s">
        <v>79</v>
      </c>
      <c r="F26" s="88" t="s">
        <v>80</v>
      </c>
      <c r="G26" s="5"/>
    </row>
    <row r="27" spans="1:7" ht="24" customHeight="1">
      <c r="A27" s="91" t="s">
        <v>93</v>
      </c>
      <c r="B27" s="58" t="s">
        <v>134</v>
      </c>
      <c r="C27" s="115">
        <f>F16</f>
        <v>1610473.4525</v>
      </c>
      <c r="D27" s="114">
        <v>0.15</v>
      </c>
      <c r="E27" s="94">
        <f aca="true" t="shared" si="5" ref="E27:E33">C27*D27</f>
        <v>241571.01787499996</v>
      </c>
      <c r="F27" s="94">
        <f aca="true" t="shared" si="6" ref="F27:F33">C27-E27</f>
        <v>1368902.434625</v>
      </c>
      <c r="G27" s="5"/>
    </row>
    <row r="28" spans="1:7" ht="25.5" customHeight="1">
      <c r="A28" s="12"/>
      <c r="B28" s="58" t="s">
        <v>136</v>
      </c>
      <c r="C28" s="115">
        <f aca="true" t="shared" si="7" ref="C28:C34">F17</f>
        <v>149380.4875</v>
      </c>
      <c r="D28" s="114">
        <v>0.15</v>
      </c>
      <c r="E28" s="94">
        <f t="shared" si="5"/>
        <v>22407.073125</v>
      </c>
      <c r="F28" s="94">
        <f t="shared" si="6"/>
        <v>126973.414375</v>
      </c>
      <c r="G28" s="5"/>
    </row>
    <row r="29" spans="1:7" ht="27" customHeight="1">
      <c r="A29" s="12"/>
      <c r="B29" s="58" t="s">
        <v>137</v>
      </c>
      <c r="C29" s="115">
        <f t="shared" si="7"/>
        <v>734690.7425</v>
      </c>
      <c r="D29" s="114">
        <v>0.15</v>
      </c>
      <c r="E29" s="94">
        <f t="shared" si="5"/>
        <v>110203.61137500001</v>
      </c>
      <c r="F29" s="94">
        <f t="shared" si="6"/>
        <v>624487.1311250001</v>
      </c>
      <c r="G29" s="5"/>
    </row>
    <row r="30" spans="1:7" ht="24" customHeight="1">
      <c r="A30" s="12"/>
      <c r="B30" s="58" t="s">
        <v>138</v>
      </c>
      <c r="C30" s="115">
        <f t="shared" si="7"/>
        <v>1445000</v>
      </c>
      <c r="D30" s="114">
        <v>0.15</v>
      </c>
      <c r="E30" s="94">
        <f t="shared" si="5"/>
        <v>216750</v>
      </c>
      <c r="F30" s="94">
        <f t="shared" si="6"/>
        <v>1228250</v>
      </c>
      <c r="G30" s="5"/>
    </row>
    <row r="31" spans="1:7" ht="24.75" customHeight="1">
      <c r="A31" s="12"/>
      <c r="B31" s="58" t="s">
        <v>214</v>
      </c>
      <c r="C31" s="115">
        <f t="shared" si="7"/>
        <v>223975</v>
      </c>
      <c r="D31" s="114">
        <v>0.15</v>
      </c>
      <c r="E31" s="94">
        <f t="shared" si="5"/>
        <v>33596.25</v>
      </c>
      <c r="F31" s="94">
        <f t="shared" si="6"/>
        <v>190378.75</v>
      </c>
      <c r="G31" s="5"/>
    </row>
    <row r="32" spans="1:7" ht="25.5" customHeight="1">
      <c r="A32" s="12"/>
      <c r="B32" s="58" t="s">
        <v>139</v>
      </c>
      <c r="C32" s="115">
        <f t="shared" si="7"/>
        <v>668714.9325</v>
      </c>
      <c r="D32" s="114">
        <v>0.15</v>
      </c>
      <c r="E32" s="94">
        <f t="shared" si="5"/>
        <v>100307.239875</v>
      </c>
      <c r="F32" s="94">
        <f t="shared" si="6"/>
        <v>568407.692625</v>
      </c>
      <c r="G32" s="5"/>
    </row>
    <row r="33" spans="1:7" ht="22.5" customHeight="1">
      <c r="A33" s="5"/>
      <c r="B33" s="12" t="s">
        <v>213</v>
      </c>
      <c r="C33" s="115">
        <f t="shared" si="7"/>
        <v>1274406.19</v>
      </c>
      <c r="D33" s="114">
        <v>0.15</v>
      </c>
      <c r="E33" s="94">
        <f t="shared" si="5"/>
        <v>191160.92849999998</v>
      </c>
      <c r="F33" s="94">
        <f t="shared" si="6"/>
        <v>1083245.2615</v>
      </c>
      <c r="G33" s="5"/>
    </row>
    <row r="34" spans="1:9" ht="24" customHeight="1">
      <c r="A34" s="5"/>
      <c r="B34" s="12" t="s">
        <v>81</v>
      </c>
      <c r="C34" s="115">
        <f t="shared" si="7"/>
        <v>600000</v>
      </c>
      <c r="D34" s="114"/>
      <c r="E34" s="94"/>
      <c r="F34" s="94">
        <f>C34</f>
        <v>600000</v>
      </c>
      <c r="G34" s="5"/>
      <c r="I34" s="99">
        <f>E34*0.5/12</f>
        <v>0</v>
      </c>
    </row>
    <row r="35" spans="1:7" ht="38.25" customHeight="1">
      <c r="A35" s="5"/>
      <c r="B35" s="88" t="s">
        <v>9</v>
      </c>
      <c r="C35" s="98">
        <f>SUM(C27:C34)</f>
        <v>6706640.805</v>
      </c>
      <c r="D35" s="12"/>
      <c r="E35" s="98">
        <f>SUM(E27:E33)</f>
        <v>915996.12075</v>
      </c>
      <c r="F35" s="98">
        <f>SUM(F27:F34)</f>
        <v>5790644.68425</v>
      </c>
      <c r="G35" s="5"/>
    </row>
    <row r="36" spans="1:7" ht="38.25" customHeight="1">
      <c r="A36" s="5"/>
      <c r="B36" s="88"/>
      <c r="C36" s="98"/>
      <c r="D36" s="12"/>
      <c r="E36" s="98"/>
      <c r="F36" s="98"/>
      <c r="G36" s="5"/>
    </row>
    <row r="37" spans="1:7" ht="30" customHeight="1">
      <c r="A37" s="88" t="s">
        <v>77</v>
      </c>
      <c r="B37" s="88" t="s">
        <v>25</v>
      </c>
      <c r="C37" s="88" t="s">
        <v>135</v>
      </c>
      <c r="D37" s="88" t="s">
        <v>78</v>
      </c>
      <c r="E37" s="88" t="s">
        <v>79</v>
      </c>
      <c r="F37" s="88" t="s">
        <v>80</v>
      </c>
      <c r="G37" s="5"/>
    </row>
    <row r="38" spans="1:7" ht="30" customHeight="1">
      <c r="A38" s="91" t="s">
        <v>94</v>
      </c>
      <c r="B38" s="58" t="s">
        <v>134</v>
      </c>
      <c r="C38" s="115">
        <f>F27</f>
        <v>1368902.434625</v>
      </c>
      <c r="D38" s="114">
        <v>0.15</v>
      </c>
      <c r="E38" s="94">
        <f aca="true" t="shared" si="8" ref="E38:E44">C38*D38</f>
        <v>205335.36519374998</v>
      </c>
      <c r="F38" s="94">
        <f aca="true" t="shared" si="9" ref="F38:F44">C38-E38</f>
        <v>1163567.06943125</v>
      </c>
      <c r="G38" s="5"/>
    </row>
    <row r="39" spans="1:7" ht="30" customHeight="1">
      <c r="A39" s="12"/>
      <c r="B39" s="58" t="s">
        <v>136</v>
      </c>
      <c r="C39" s="115">
        <f aca="true" t="shared" si="10" ref="C39:C45">F28</f>
        <v>126973.414375</v>
      </c>
      <c r="D39" s="114">
        <v>0.15</v>
      </c>
      <c r="E39" s="94">
        <f t="shared" si="8"/>
        <v>19046.01215625</v>
      </c>
      <c r="F39" s="94">
        <f t="shared" si="9"/>
        <v>107927.40221875</v>
      </c>
      <c r="G39" s="5"/>
    </row>
    <row r="40" spans="1:7" ht="30" customHeight="1">
      <c r="A40" s="12"/>
      <c r="B40" s="58" t="s">
        <v>137</v>
      </c>
      <c r="C40" s="115">
        <f t="shared" si="10"/>
        <v>624487.1311250001</v>
      </c>
      <c r="D40" s="114">
        <v>0.15</v>
      </c>
      <c r="E40" s="94">
        <f t="shared" si="8"/>
        <v>93673.06966875</v>
      </c>
      <c r="F40" s="94">
        <f t="shared" si="9"/>
        <v>530814.06145625</v>
      </c>
      <c r="G40" s="5"/>
    </row>
    <row r="41" spans="1:7" ht="30" customHeight="1">
      <c r="A41" s="12"/>
      <c r="B41" s="58" t="s">
        <v>138</v>
      </c>
      <c r="C41" s="115">
        <f t="shared" si="10"/>
        <v>1228250</v>
      </c>
      <c r="D41" s="114">
        <v>0.15</v>
      </c>
      <c r="E41" s="94">
        <f t="shared" si="8"/>
        <v>184237.5</v>
      </c>
      <c r="F41" s="94">
        <f t="shared" si="9"/>
        <v>1044012.5</v>
      </c>
      <c r="G41" s="5"/>
    </row>
    <row r="42" spans="1:7" ht="30" customHeight="1">
      <c r="A42" s="12"/>
      <c r="B42" s="58" t="s">
        <v>214</v>
      </c>
      <c r="C42" s="115">
        <f t="shared" si="10"/>
        <v>190378.75</v>
      </c>
      <c r="D42" s="114">
        <v>0.15</v>
      </c>
      <c r="E42" s="94">
        <f t="shared" si="8"/>
        <v>28556.8125</v>
      </c>
      <c r="F42" s="94">
        <f t="shared" si="9"/>
        <v>161821.9375</v>
      </c>
      <c r="G42" s="5"/>
    </row>
    <row r="43" spans="1:7" ht="30" customHeight="1">
      <c r="A43" s="12"/>
      <c r="B43" s="58" t="s">
        <v>139</v>
      </c>
      <c r="C43" s="115">
        <f t="shared" si="10"/>
        <v>568407.692625</v>
      </c>
      <c r="D43" s="114">
        <v>0.15</v>
      </c>
      <c r="E43" s="94">
        <f t="shared" si="8"/>
        <v>85261.15389375</v>
      </c>
      <c r="F43" s="94">
        <f t="shared" si="9"/>
        <v>483146.53873125004</v>
      </c>
      <c r="G43" s="5"/>
    </row>
    <row r="44" spans="1:7" ht="30" customHeight="1">
      <c r="A44" s="5"/>
      <c r="B44" s="12" t="s">
        <v>213</v>
      </c>
      <c r="C44" s="115">
        <f t="shared" si="10"/>
        <v>1083245.2615</v>
      </c>
      <c r="D44" s="114">
        <v>0.15</v>
      </c>
      <c r="E44" s="94">
        <f t="shared" si="8"/>
        <v>162486.789225</v>
      </c>
      <c r="F44" s="94">
        <f t="shared" si="9"/>
        <v>920758.4722750001</v>
      </c>
      <c r="G44" s="5"/>
    </row>
    <row r="45" spans="1:9" ht="30" customHeight="1">
      <c r="A45" s="5"/>
      <c r="B45" s="12" t="s">
        <v>81</v>
      </c>
      <c r="C45" s="115">
        <f t="shared" si="10"/>
        <v>600000</v>
      </c>
      <c r="D45" s="114"/>
      <c r="E45" s="94"/>
      <c r="F45" s="94">
        <f>C45</f>
        <v>600000</v>
      </c>
      <c r="G45" s="5"/>
      <c r="I45" s="99">
        <f>E45*0.5/12</f>
        <v>0</v>
      </c>
    </row>
    <row r="46" spans="1:7" ht="29.25" customHeight="1">
      <c r="A46" s="5"/>
      <c r="B46" s="88" t="s">
        <v>9</v>
      </c>
      <c r="C46" s="98">
        <f>SUM(C38:C45)</f>
        <v>5790644.68425</v>
      </c>
      <c r="D46" s="12"/>
      <c r="E46" s="98">
        <f>SUM(E38:E44)</f>
        <v>778596.7026375</v>
      </c>
      <c r="F46" s="98">
        <f>SUM(F38:F45)</f>
        <v>5012047.9816125</v>
      </c>
      <c r="G46" s="5"/>
    </row>
    <row r="47" spans="1:7" ht="29.25" customHeight="1">
      <c r="A47" s="5"/>
      <c r="B47" s="88"/>
      <c r="C47" s="98"/>
      <c r="D47" s="12"/>
      <c r="E47" s="98"/>
      <c r="F47" s="98"/>
      <c r="G47" s="5"/>
    </row>
    <row r="48" spans="1:7" ht="22.5" customHeight="1">
      <c r="A48" s="88" t="s">
        <v>77</v>
      </c>
      <c r="B48" s="88" t="s">
        <v>25</v>
      </c>
      <c r="C48" s="88" t="s">
        <v>135</v>
      </c>
      <c r="D48" s="88" t="s">
        <v>78</v>
      </c>
      <c r="E48" s="88" t="s">
        <v>79</v>
      </c>
      <c r="F48" s="88" t="s">
        <v>80</v>
      </c>
      <c r="G48" s="5"/>
    </row>
    <row r="49" spans="1:7" ht="30" customHeight="1">
      <c r="A49" s="91" t="s">
        <v>66</v>
      </c>
      <c r="B49" s="58" t="s">
        <v>134</v>
      </c>
      <c r="C49" s="115">
        <f>F38</f>
        <v>1163567.06943125</v>
      </c>
      <c r="D49" s="114">
        <v>0.15</v>
      </c>
      <c r="E49" s="94">
        <f aca="true" t="shared" si="11" ref="E49:E55">C49*D49</f>
        <v>174535.0604146875</v>
      </c>
      <c r="F49" s="94">
        <f aca="true" t="shared" si="12" ref="F49:F55">C49-E49</f>
        <v>989032.0090165625</v>
      </c>
      <c r="G49" s="5"/>
    </row>
    <row r="50" spans="1:7" ht="30" customHeight="1">
      <c r="A50" s="12"/>
      <c r="B50" s="58" t="s">
        <v>136</v>
      </c>
      <c r="C50" s="115">
        <f aca="true" t="shared" si="13" ref="C50:C56">F39</f>
        <v>107927.40221875</v>
      </c>
      <c r="D50" s="114">
        <v>0.15</v>
      </c>
      <c r="E50" s="94">
        <f t="shared" si="11"/>
        <v>16189.1103328125</v>
      </c>
      <c r="F50" s="94">
        <f t="shared" si="12"/>
        <v>91738.29188593749</v>
      </c>
      <c r="G50" s="5"/>
    </row>
    <row r="51" spans="1:7" ht="30" customHeight="1">
      <c r="A51" s="12"/>
      <c r="B51" s="58" t="s">
        <v>137</v>
      </c>
      <c r="C51" s="115">
        <f t="shared" si="13"/>
        <v>530814.06145625</v>
      </c>
      <c r="D51" s="114">
        <v>0.15</v>
      </c>
      <c r="E51" s="94">
        <f t="shared" si="11"/>
        <v>79622.1092184375</v>
      </c>
      <c r="F51" s="94">
        <f t="shared" si="12"/>
        <v>451191.9522378125</v>
      </c>
      <c r="G51" s="5"/>
    </row>
    <row r="52" spans="1:7" ht="30" customHeight="1">
      <c r="A52" s="12"/>
      <c r="B52" s="58" t="s">
        <v>138</v>
      </c>
      <c r="C52" s="115">
        <f t="shared" si="13"/>
        <v>1044012.5</v>
      </c>
      <c r="D52" s="114">
        <v>0.15</v>
      </c>
      <c r="E52" s="94">
        <f t="shared" si="11"/>
        <v>156601.875</v>
      </c>
      <c r="F52" s="94">
        <f t="shared" si="12"/>
        <v>887410.625</v>
      </c>
      <c r="G52" s="5"/>
    </row>
    <row r="53" spans="1:7" ht="30" customHeight="1">
      <c r="A53" s="12"/>
      <c r="B53" s="58" t="s">
        <v>214</v>
      </c>
      <c r="C53" s="115">
        <f t="shared" si="13"/>
        <v>161821.9375</v>
      </c>
      <c r="D53" s="114">
        <v>0.15</v>
      </c>
      <c r="E53" s="94">
        <f t="shared" si="11"/>
        <v>24273.290624999998</v>
      </c>
      <c r="F53" s="94">
        <f t="shared" si="12"/>
        <v>137548.646875</v>
      </c>
      <c r="G53" s="5"/>
    </row>
    <row r="54" spans="1:7" ht="20.25" customHeight="1">
      <c r="A54" s="12"/>
      <c r="B54" s="58" t="s">
        <v>139</v>
      </c>
      <c r="C54" s="115">
        <f t="shared" si="13"/>
        <v>483146.53873125004</v>
      </c>
      <c r="D54" s="114">
        <v>0.15</v>
      </c>
      <c r="E54" s="94">
        <f t="shared" si="11"/>
        <v>72471.9808096875</v>
      </c>
      <c r="F54" s="94">
        <f t="shared" si="12"/>
        <v>410674.5579215625</v>
      </c>
      <c r="G54" s="5"/>
    </row>
    <row r="55" spans="1:7" ht="30" customHeight="1">
      <c r="A55" s="5"/>
      <c r="B55" s="12" t="s">
        <v>213</v>
      </c>
      <c r="C55" s="115">
        <f t="shared" si="13"/>
        <v>920758.4722750001</v>
      </c>
      <c r="D55" s="114">
        <v>0.15</v>
      </c>
      <c r="E55" s="94">
        <f t="shared" si="11"/>
        <v>138113.77084125</v>
      </c>
      <c r="F55" s="94">
        <f t="shared" si="12"/>
        <v>782644.7014337501</v>
      </c>
      <c r="G55" s="5"/>
    </row>
    <row r="56" spans="1:9" ht="30" customHeight="1">
      <c r="A56" s="5"/>
      <c r="B56" s="12" t="s">
        <v>81</v>
      </c>
      <c r="C56" s="115">
        <f t="shared" si="13"/>
        <v>600000</v>
      </c>
      <c r="D56" s="114"/>
      <c r="E56" s="94"/>
      <c r="F56" s="94">
        <f>C56</f>
        <v>600000</v>
      </c>
      <c r="G56" s="5"/>
      <c r="I56" s="99">
        <f>E56*0.5/12</f>
        <v>0</v>
      </c>
    </row>
    <row r="57" spans="1:6" ht="21" customHeight="1">
      <c r="A57" s="5"/>
      <c r="B57" s="88" t="s">
        <v>9</v>
      </c>
      <c r="C57" s="98">
        <f>SUM(C49:C56)</f>
        <v>5012047.9816125</v>
      </c>
      <c r="D57" s="12"/>
      <c r="E57" s="98">
        <f>SUM(E49:E55)</f>
        <v>661807.197241875</v>
      </c>
      <c r="F57" s="98">
        <f>SUM(F49:F56)</f>
        <v>4350240.784370625</v>
      </c>
    </row>
    <row r="58" spans="1:6" ht="21" customHeight="1">
      <c r="A58" s="5"/>
      <c r="B58" s="88"/>
      <c r="C58" s="98"/>
      <c r="D58" s="12"/>
      <c r="E58" s="98"/>
      <c r="F58" s="98"/>
    </row>
    <row r="59" spans="1:6" ht="24.75" customHeight="1">
      <c r="A59" s="88" t="s">
        <v>77</v>
      </c>
      <c r="B59" s="88" t="s">
        <v>25</v>
      </c>
      <c r="C59" s="88" t="s">
        <v>135</v>
      </c>
      <c r="D59" s="88" t="s">
        <v>78</v>
      </c>
      <c r="E59" s="88" t="s">
        <v>79</v>
      </c>
      <c r="F59" s="88" t="s">
        <v>80</v>
      </c>
    </row>
    <row r="60" spans="1:6" ht="30" customHeight="1">
      <c r="A60" s="91" t="s">
        <v>95</v>
      </c>
      <c r="B60" s="58" t="s">
        <v>134</v>
      </c>
      <c r="C60" s="115">
        <f>F49</f>
        <v>989032.0090165625</v>
      </c>
      <c r="D60" s="114">
        <v>0.15</v>
      </c>
      <c r="E60" s="94">
        <f aca="true" t="shared" si="14" ref="E60:E66">C60*D60</f>
        <v>148354.80135248436</v>
      </c>
      <c r="F60" s="94">
        <f aca="true" t="shared" si="15" ref="F60:F66">C60-E60</f>
        <v>840677.2076640781</v>
      </c>
    </row>
    <row r="61" spans="1:6" ht="30" customHeight="1">
      <c r="A61" s="12"/>
      <c r="B61" s="58" t="s">
        <v>136</v>
      </c>
      <c r="C61" s="115">
        <f aca="true" t="shared" si="16" ref="C61:C67">F50</f>
        <v>91738.29188593749</v>
      </c>
      <c r="D61" s="114">
        <v>0.15</v>
      </c>
      <c r="E61" s="94">
        <f t="shared" si="14"/>
        <v>13760.743782890624</v>
      </c>
      <c r="F61" s="94">
        <f t="shared" si="15"/>
        <v>77977.54810304687</v>
      </c>
    </row>
    <row r="62" spans="1:6" ht="30" customHeight="1">
      <c r="A62" s="12"/>
      <c r="B62" s="58" t="s">
        <v>137</v>
      </c>
      <c r="C62" s="115">
        <f t="shared" si="16"/>
        <v>451191.9522378125</v>
      </c>
      <c r="D62" s="114">
        <v>0.15</v>
      </c>
      <c r="E62" s="94">
        <f t="shared" si="14"/>
        <v>67678.79283567188</v>
      </c>
      <c r="F62" s="94">
        <f t="shared" si="15"/>
        <v>383513.15940214065</v>
      </c>
    </row>
    <row r="63" spans="1:6" ht="30" customHeight="1">
      <c r="A63" s="12"/>
      <c r="B63" s="58" t="s">
        <v>138</v>
      </c>
      <c r="C63" s="115">
        <f t="shared" si="16"/>
        <v>887410.625</v>
      </c>
      <c r="D63" s="114">
        <v>0.15</v>
      </c>
      <c r="E63" s="94">
        <f t="shared" si="14"/>
        <v>133111.59375</v>
      </c>
      <c r="F63" s="94">
        <f t="shared" si="15"/>
        <v>754299.03125</v>
      </c>
    </row>
    <row r="64" spans="1:6" ht="30" customHeight="1">
      <c r="A64" s="12"/>
      <c r="B64" s="58" t="s">
        <v>214</v>
      </c>
      <c r="C64" s="115">
        <f t="shared" si="16"/>
        <v>137548.646875</v>
      </c>
      <c r="D64" s="114">
        <v>0.15</v>
      </c>
      <c r="E64" s="94">
        <f t="shared" si="14"/>
        <v>20632.29703125</v>
      </c>
      <c r="F64" s="94">
        <f t="shared" si="15"/>
        <v>116916.34984375001</v>
      </c>
    </row>
    <row r="65" spans="1:6" ht="30" customHeight="1">
      <c r="A65" s="12"/>
      <c r="B65" s="58" t="s">
        <v>139</v>
      </c>
      <c r="C65" s="115">
        <f t="shared" si="16"/>
        <v>410674.5579215625</v>
      </c>
      <c r="D65" s="114">
        <v>0.15</v>
      </c>
      <c r="E65" s="94">
        <f t="shared" si="14"/>
        <v>61601.18368823438</v>
      </c>
      <c r="F65" s="94">
        <f t="shared" si="15"/>
        <v>349073.37423332816</v>
      </c>
    </row>
    <row r="66" spans="1:6" ht="24.75" customHeight="1">
      <c r="A66" s="5"/>
      <c r="B66" s="12" t="s">
        <v>213</v>
      </c>
      <c r="C66" s="115">
        <f t="shared" si="16"/>
        <v>782644.7014337501</v>
      </c>
      <c r="D66" s="114">
        <v>0.15</v>
      </c>
      <c r="E66" s="94">
        <f t="shared" si="14"/>
        <v>117396.70521506251</v>
      </c>
      <c r="F66" s="94">
        <f t="shared" si="15"/>
        <v>665247.9962186876</v>
      </c>
    </row>
    <row r="67" spans="1:9" ht="30" customHeight="1">
      <c r="A67" s="5"/>
      <c r="B67" s="12" t="s">
        <v>81</v>
      </c>
      <c r="C67" s="115">
        <f t="shared" si="16"/>
        <v>600000</v>
      </c>
      <c r="D67" s="114"/>
      <c r="E67" s="94"/>
      <c r="F67" s="94">
        <f>C67</f>
        <v>600000</v>
      </c>
      <c r="I67" s="99">
        <f>E67*0.5/12</f>
        <v>0</v>
      </c>
    </row>
    <row r="68" spans="1:9" ht="15">
      <c r="A68" s="5"/>
      <c r="B68" s="88" t="s">
        <v>9</v>
      </c>
      <c r="C68" s="98">
        <f>SUM(C60:C67)</f>
        <v>4350240.784370625</v>
      </c>
      <c r="D68" s="12"/>
      <c r="E68" s="98">
        <f>SUM(E60:E66)</f>
        <v>562536.1176555938</v>
      </c>
      <c r="F68" s="98">
        <f>SUM(F60:F67)</f>
        <v>3787704.6667150315</v>
      </c>
      <c r="I68" s="102">
        <f>SUM(I18:I67)</f>
        <v>0</v>
      </c>
    </row>
    <row r="69" spans="1:6" ht="23.25" customHeight="1">
      <c r="A69" s="116"/>
      <c r="B69" s="116"/>
      <c r="C69" s="118"/>
      <c r="D69" s="116"/>
      <c r="E69" s="117"/>
      <c r="F69" s="117"/>
    </row>
    <row r="70" spans="1:6" ht="30" customHeight="1">
      <c r="A70" s="88" t="s">
        <v>77</v>
      </c>
      <c r="B70" s="88" t="s">
        <v>25</v>
      </c>
      <c r="C70" s="88" t="s">
        <v>135</v>
      </c>
      <c r="D70" s="88" t="s">
        <v>78</v>
      </c>
      <c r="E70" s="88" t="s">
        <v>79</v>
      </c>
      <c r="F70" s="88" t="s">
        <v>80</v>
      </c>
    </row>
    <row r="71" spans="1:6" ht="30" customHeight="1">
      <c r="A71" s="91" t="s">
        <v>96</v>
      </c>
      <c r="B71" s="58" t="s">
        <v>134</v>
      </c>
      <c r="C71" s="115">
        <f>F60</f>
        <v>840677.2076640781</v>
      </c>
      <c r="D71" s="114">
        <v>0.15</v>
      </c>
      <c r="E71" s="94">
        <f aca="true" t="shared" si="17" ref="E71:E77">C71*D71</f>
        <v>126101.58114961171</v>
      </c>
      <c r="F71" s="94">
        <f aca="true" t="shared" si="18" ref="F71:F77">C71-E71</f>
        <v>714575.6265144664</v>
      </c>
    </row>
    <row r="72" spans="1:6" ht="30" customHeight="1">
      <c r="A72" s="12"/>
      <c r="B72" s="58" t="s">
        <v>136</v>
      </c>
      <c r="C72" s="115">
        <f aca="true" t="shared" si="19" ref="C72:C78">F61</f>
        <v>77977.54810304687</v>
      </c>
      <c r="D72" s="114">
        <v>0.15</v>
      </c>
      <c r="E72" s="94">
        <f t="shared" si="17"/>
        <v>11696.63221545703</v>
      </c>
      <c r="F72" s="94">
        <f t="shared" si="18"/>
        <v>66280.91588758983</v>
      </c>
    </row>
    <row r="73" spans="1:6" ht="30" customHeight="1">
      <c r="A73" s="12"/>
      <c r="B73" s="58" t="s">
        <v>137</v>
      </c>
      <c r="C73" s="115">
        <f t="shared" si="19"/>
        <v>383513.15940214065</v>
      </c>
      <c r="D73" s="114">
        <v>0.15</v>
      </c>
      <c r="E73" s="94">
        <f t="shared" si="17"/>
        <v>57526.973910321096</v>
      </c>
      <c r="F73" s="94">
        <f t="shared" si="18"/>
        <v>325986.1854918196</v>
      </c>
    </row>
    <row r="74" spans="1:6" ht="30" customHeight="1">
      <c r="A74" s="12"/>
      <c r="B74" s="58" t="s">
        <v>138</v>
      </c>
      <c r="C74" s="115">
        <f t="shared" si="19"/>
        <v>754299.03125</v>
      </c>
      <c r="D74" s="114">
        <v>0.15</v>
      </c>
      <c r="E74" s="94">
        <f t="shared" si="17"/>
        <v>113144.8546875</v>
      </c>
      <c r="F74" s="94">
        <f t="shared" si="18"/>
        <v>641154.1765625</v>
      </c>
    </row>
    <row r="75" spans="1:6" ht="30" customHeight="1">
      <c r="A75" s="12"/>
      <c r="B75" s="58" t="s">
        <v>214</v>
      </c>
      <c r="C75" s="115">
        <f t="shared" si="19"/>
        <v>116916.34984375001</v>
      </c>
      <c r="D75" s="114">
        <v>0.15</v>
      </c>
      <c r="E75" s="94">
        <f t="shared" si="17"/>
        <v>17537.4524765625</v>
      </c>
      <c r="F75" s="94">
        <f t="shared" si="18"/>
        <v>99378.89736718751</v>
      </c>
    </row>
    <row r="76" spans="1:6" ht="30" customHeight="1">
      <c r="A76" s="12"/>
      <c r="B76" s="58" t="s">
        <v>139</v>
      </c>
      <c r="C76" s="115">
        <f t="shared" si="19"/>
        <v>349073.37423332816</v>
      </c>
      <c r="D76" s="114">
        <v>0.15</v>
      </c>
      <c r="E76" s="94">
        <f t="shared" si="17"/>
        <v>52361.006134999225</v>
      </c>
      <c r="F76" s="94">
        <f t="shared" si="18"/>
        <v>296712.36809832894</v>
      </c>
    </row>
    <row r="77" spans="1:6" ht="30" customHeight="1">
      <c r="A77" s="5"/>
      <c r="B77" s="12" t="s">
        <v>213</v>
      </c>
      <c r="C77" s="115">
        <f t="shared" si="19"/>
        <v>665247.9962186876</v>
      </c>
      <c r="D77" s="114">
        <v>0.15</v>
      </c>
      <c r="E77" s="94">
        <f t="shared" si="17"/>
        <v>99787.19943280314</v>
      </c>
      <c r="F77" s="94">
        <f t="shared" si="18"/>
        <v>565460.7967858845</v>
      </c>
    </row>
    <row r="78" spans="1:6" ht="30" customHeight="1">
      <c r="A78" s="5"/>
      <c r="B78" s="12" t="s">
        <v>81</v>
      </c>
      <c r="C78" s="115">
        <f t="shared" si="19"/>
        <v>600000</v>
      </c>
      <c r="D78" s="114"/>
      <c r="E78" s="94"/>
      <c r="F78" s="94">
        <f>C78</f>
        <v>600000</v>
      </c>
    </row>
    <row r="79" spans="1:6" ht="15" customHeight="1">
      <c r="A79" s="5"/>
      <c r="B79" s="88" t="s">
        <v>9</v>
      </c>
      <c r="C79" s="98">
        <f>SUM(C71:C78)</f>
        <v>3787704.6667150315</v>
      </c>
      <c r="D79" s="12"/>
      <c r="E79" s="98">
        <f>SUM(E71:E77)</f>
        <v>478155.7000072547</v>
      </c>
      <c r="F79" s="98">
        <f>SUM(F71:F78)</f>
        <v>3309548.9667077768</v>
      </c>
    </row>
    <row r="80" spans="1:6" ht="12.75">
      <c r="A80" s="116"/>
      <c r="B80" s="116"/>
      <c r="C80" s="116"/>
      <c r="D80" s="116"/>
      <c r="E80" s="116"/>
      <c r="F80" s="116"/>
    </row>
    <row r="83" ht="12.75">
      <c r="A83" s="179" t="s">
        <v>228</v>
      </c>
    </row>
  </sheetData>
  <mergeCells count="2">
    <mergeCell ref="A1:G1"/>
    <mergeCell ref="A2:F2"/>
  </mergeCells>
  <hyperlinks>
    <hyperlink ref="A83" r:id="rId1" display="www.cottonyarnmarket.net"/>
  </hyperlinks>
  <printOptions/>
  <pageMargins left="0.66" right="0" top="0.37" bottom="0.21" header="0.17" footer="0.25"/>
  <pageSetup horizontalDpi="600" verticalDpi="600" orientation="landscape" scale="92" r:id="rId2"/>
  <rowBreaks count="2" manualBreakCount="2">
    <brk id="24" max="6" man="1"/>
    <brk id="46" max="6" man="1"/>
  </rowBreaks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44"/>
  <sheetViews>
    <sheetView workbookViewId="0" topLeftCell="A142">
      <selection activeCell="A144" sqref="A144"/>
    </sheetView>
  </sheetViews>
  <sheetFormatPr defaultColWidth="9.140625" defaultRowHeight="12.75"/>
  <cols>
    <col min="1" max="1" width="7.57421875" style="3" customWidth="1"/>
    <col min="2" max="2" width="17.57421875" style="3" customWidth="1"/>
    <col min="3" max="3" width="21.421875" style="3" customWidth="1"/>
    <col min="4" max="4" width="18.28125" style="3" customWidth="1"/>
    <col min="5" max="5" width="20.00390625" style="3" customWidth="1"/>
    <col min="6" max="6" width="19.00390625" style="3" customWidth="1"/>
    <col min="7" max="7" width="15.421875" style="3" customWidth="1"/>
    <col min="8" max="16384" width="9.140625" style="3" customWidth="1"/>
  </cols>
  <sheetData>
    <row r="1" spans="1:8" ht="18.75" customHeight="1">
      <c r="A1" s="206" t="s">
        <v>227</v>
      </c>
      <c r="B1" s="207"/>
      <c r="C1" s="207"/>
      <c r="D1" s="207"/>
      <c r="E1" s="207"/>
      <c r="F1" s="208"/>
      <c r="G1" s="49"/>
      <c r="H1" s="50"/>
    </row>
    <row r="2" spans="1:8" ht="40.5" customHeight="1">
      <c r="A2" s="209"/>
      <c r="B2" s="210"/>
      <c r="C2" s="210"/>
      <c r="D2" s="210"/>
      <c r="E2" s="210"/>
      <c r="F2" s="211"/>
      <c r="G2" s="51"/>
      <c r="H2" s="52"/>
    </row>
    <row r="3" spans="1:6" ht="22.5" customHeight="1">
      <c r="A3" s="212" t="s">
        <v>49</v>
      </c>
      <c r="B3" s="213"/>
      <c r="C3" s="213"/>
      <c r="D3" s="213"/>
      <c r="E3" s="213"/>
      <c r="F3" s="214"/>
    </row>
    <row r="4" spans="1:6" ht="19.5" customHeight="1">
      <c r="A4" s="204" t="s">
        <v>162</v>
      </c>
      <c r="B4" s="205"/>
      <c r="C4" s="53"/>
      <c r="D4" s="53"/>
      <c r="E4" s="53"/>
      <c r="F4" s="53"/>
    </row>
    <row r="5" spans="1:6" ht="18" customHeight="1">
      <c r="A5" s="54" t="s">
        <v>50</v>
      </c>
      <c r="B5" s="55"/>
      <c r="C5" s="55" t="s">
        <v>51</v>
      </c>
      <c r="D5" s="56"/>
      <c r="E5" s="57">
        <v>0.14</v>
      </c>
      <c r="F5" s="58"/>
    </row>
    <row r="6" spans="1:7" ht="18" customHeight="1">
      <c r="A6" s="59" t="s">
        <v>52</v>
      </c>
      <c r="B6" s="55" t="s">
        <v>53</v>
      </c>
      <c r="C6" s="55" t="s">
        <v>54</v>
      </c>
      <c r="D6" s="55" t="s">
        <v>55</v>
      </c>
      <c r="E6" s="55" t="s">
        <v>56</v>
      </c>
      <c r="F6" s="55" t="s">
        <v>57</v>
      </c>
      <c r="G6" s="129"/>
    </row>
    <row r="7" spans="1:6" ht="18" customHeight="1">
      <c r="A7" s="60">
        <v>1</v>
      </c>
      <c r="B7" s="61">
        <v>10000000</v>
      </c>
      <c r="C7" s="61"/>
      <c r="D7" s="61">
        <f aca="true" t="shared" si="0" ref="D7:D18">B7*14%/12</f>
        <v>116666.66666666669</v>
      </c>
      <c r="E7" s="61">
        <f aca="true" t="shared" si="1" ref="E7:E18">C7+D7</f>
        <v>116666.66666666669</v>
      </c>
      <c r="F7" s="61">
        <f aca="true" t="shared" si="2" ref="F7:F18">B7-C7</f>
        <v>10000000</v>
      </c>
    </row>
    <row r="8" spans="1:6" ht="18" customHeight="1">
      <c r="A8" s="60">
        <v>2</v>
      </c>
      <c r="B8" s="61">
        <f aca="true" t="shared" si="3" ref="B8:B18">F7</f>
        <v>10000000</v>
      </c>
      <c r="C8" s="61"/>
      <c r="D8" s="61">
        <f t="shared" si="0"/>
        <v>116666.66666666669</v>
      </c>
      <c r="E8" s="61">
        <f t="shared" si="1"/>
        <v>116666.66666666669</v>
      </c>
      <c r="F8" s="61">
        <f t="shared" si="2"/>
        <v>10000000</v>
      </c>
    </row>
    <row r="9" spans="1:6" ht="18" customHeight="1">
      <c r="A9" s="60">
        <v>3</v>
      </c>
      <c r="B9" s="62">
        <f t="shared" si="3"/>
        <v>10000000</v>
      </c>
      <c r="C9" s="61"/>
      <c r="D9" s="61">
        <f t="shared" si="0"/>
        <v>116666.66666666669</v>
      </c>
      <c r="E9" s="61">
        <f t="shared" si="1"/>
        <v>116666.66666666669</v>
      </c>
      <c r="F9" s="61">
        <f t="shared" si="2"/>
        <v>10000000</v>
      </c>
    </row>
    <row r="10" spans="1:6" ht="18" customHeight="1">
      <c r="A10" s="60">
        <v>4</v>
      </c>
      <c r="B10" s="61">
        <f t="shared" si="3"/>
        <v>10000000</v>
      </c>
      <c r="C10" s="61"/>
      <c r="D10" s="61">
        <f t="shared" si="0"/>
        <v>116666.66666666669</v>
      </c>
      <c r="E10" s="61">
        <f t="shared" si="1"/>
        <v>116666.66666666669</v>
      </c>
      <c r="F10" s="61">
        <f t="shared" si="2"/>
        <v>10000000</v>
      </c>
    </row>
    <row r="11" spans="1:6" ht="18" customHeight="1">
      <c r="A11" s="60">
        <v>5</v>
      </c>
      <c r="B11" s="61">
        <f t="shared" si="3"/>
        <v>10000000</v>
      </c>
      <c r="C11" s="61"/>
      <c r="D11" s="61">
        <f t="shared" si="0"/>
        <v>116666.66666666669</v>
      </c>
      <c r="E11" s="61">
        <f t="shared" si="1"/>
        <v>116666.66666666669</v>
      </c>
      <c r="F11" s="61">
        <f t="shared" si="2"/>
        <v>10000000</v>
      </c>
    </row>
    <row r="12" spans="1:6" ht="18" customHeight="1">
      <c r="A12" s="60">
        <v>6</v>
      </c>
      <c r="B12" s="61">
        <f t="shared" si="3"/>
        <v>10000000</v>
      </c>
      <c r="C12" s="61"/>
      <c r="D12" s="61">
        <f t="shared" si="0"/>
        <v>116666.66666666669</v>
      </c>
      <c r="E12" s="61">
        <f t="shared" si="1"/>
        <v>116666.66666666669</v>
      </c>
      <c r="F12" s="61">
        <f t="shared" si="2"/>
        <v>10000000</v>
      </c>
    </row>
    <row r="13" spans="1:6" ht="18" customHeight="1">
      <c r="A13" s="60">
        <v>7</v>
      </c>
      <c r="B13" s="61">
        <f t="shared" si="3"/>
        <v>10000000</v>
      </c>
      <c r="C13" s="61"/>
      <c r="D13" s="61">
        <f t="shared" si="0"/>
        <v>116666.66666666669</v>
      </c>
      <c r="E13" s="61">
        <f t="shared" si="1"/>
        <v>116666.66666666669</v>
      </c>
      <c r="F13" s="61">
        <f t="shared" si="2"/>
        <v>10000000</v>
      </c>
    </row>
    <row r="14" spans="1:6" ht="18" customHeight="1">
      <c r="A14" s="60">
        <v>8</v>
      </c>
      <c r="B14" s="61">
        <f t="shared" si="3"/>
        <v>10000000</v>
      </c>
      <c r="C14" s="61"/>
      <c r="D14" s="61">
        <f t="shared" si="0"/>
        <v>116666.66666666669</v>
      </c>
      <c r="E14" s="61">
        <f t="shared" si="1"/>
        <v>116666.66666666669</v>
      </c>
      <c r="F14" s="61">
        <f t="shared" si="2"/>
        <v>10000000</v>
      </c>
    </row>
    <row r="15" spans="1:6" ht="18" customHeight="1">
      <c r="A15" s="60">
        <v>9</v>
      </c>
      <c r="B15" s="61">
        <f t="shared" si="3"/>
        <v>10000000</v>
      </c>
      <c r="C15" s="61"/>
      <c r="D15" s="61">
        <f t="shared" si="0"/>
        <v>116666.66666666669</v>
      </c>
      <c r="E15" s="61">
        <f t="shared" si="1"/>
        <v>116666.66666666669</v>
      </c>
      <c r="F15" s="61">
        <f t="shared" si="2"/>
        <v>10000000</v>
      </c>
    </row>
    <row r="16" spans="1:6" ht="18" customHeight="1">
      <c r="A16" s="60">
        <v>10</v>
      </c>
      <c r="B16" s="61">
        <f t="shared" si="3"/>
        <v>10000000</v>
      </c>
      <c r="C16" s="61">
        <v>119047</v>
      </c>
      <c r="D16" s="61">
        <f t="shared" si="0"/>
        <v>116666.66666666669</v>
      </c>
      <c r="E16" s="61">
        <f t="shared" si="1"/>
        <v>235713.6666666667</v>
      </c>
      <c r="F16" s="61">
        <f t="shared" si="2"/>
        <v>9880953</v>
      </c>
    </row>
    <row r="17" spans="1:6" ht="18" customHeight="1">
      <c r="A17" s="60">
        <v>11</v>
      </c>
      <c r="B17" s="61">
        <f t="shared" si="3"/>
        <v>9880953</v>
      </c>
      <c r="C17" s="61">
        <f>C16</f>
        <v>119047</v>
      </c>
      <c r="D17" s="61">
        <f t="shared" si="0"/>
        <v>115277.78500000002</v>
      </c>
      <c r="E17" s="61">
        <f t="shared" si="1"/>
        <v>234324.78500000003</v>
      </c>
      <c r="F17" s="61">
        <f t="shared" si="2"/>
        <v>9761906</v>
      </c>
    </row>
    <row r="18" spans="1:6" ht="18" customHeight="1">
      <c r="A18" s="60">
        <v>12</v>
      </c>
      <c r="B18" s="61">
        <f t="shared" si="3"/>
        <v>9761906</v>
      </c>
      <c r="C18" s="61">
        <f>C17</f>
        <v>119047</v>
      </c>
      <c r="D18" s="61">
        <f t="shared" si="0"/>
        <v>113888.90333333334</v>
      </c>
      <c r="E18" s="61">
        <f t="shared" si="1"/>
        <v>232935.90333333332</v>
      </c>
      <c r="F18" s="61">
        <f t="shared" si="2"/>
        <v>9642859</v>
      </c>
    </row>
    <row r="19" spans="1:6" ht="18" customHeight="1">
      <c r="A19" s="128"/>
      <c r="B19" s="62"/>
      <c r="C19" s="61"/>
      <c r="D19" s="61"/>
      <c r="E19" s="61"/>
      <c r="F19" s="64"/>
    </row>
    <row r="20" spans="1:6" ht="18" customHeight="1" thickBot="1">
      <c r="A20" s="150"/>
      <c r="B20" s="151" t="s">
        <v>58</v>
      </c>
      <c r="C20" s="152">
        <f>SUM(C16:C19)</f>
        <v>357141</v>
      </c>
      <c r="D20" s="152">
        <f>SUM(D7:D18)</f>
        <v>1395833.3550000004</v>
      </c>
      <c r="E20" s="152">
        <f>SUM(E7:E18)</f>
        <v>1752974.3550000004</v>
      </c>
      <c r="F20" s="153"/>
    </row>
    <row r="21" ht="18" customHeight="1" thickTop="1"/>
    <row r="22" spans="1:6" ht="18" customHeight="1">
      <c r="A22" s="204" t="s">
        <v>59</v>
      </c>
      <c r="B22" s="205"/>
      <c r="C22" s="53"/>
      <c r="D22" s="53"/>
      <c r="E22" s="53"/>
      <c r="F22" s="53"/>
    </row>
    <row r="23" spans="1:6" ht="18" customHeight="1">
      <c r="A23" s="54" t="s">
        <v>50</v>
      </c>
      <c r="B23" s="55"/>
      <c r="C23" s="55" t="s">
        <v>51</v>
      </c>
      <c r="D23" s="56"/>
      <c r="E23" s="57">
        <v>0.14</v>
      </c>
      <c r="F23" s="58"/>
    </row>
    <row r="24" spans="1:6" ht="18" customHeight="1">
      <c r="A24" s="59" t="s">
        <v>52</v>
      </c>
      <c r="B24" s="55" t="s">
        <v>53</v>
      </c>
      <c r="C24" s="55" t="s">
        <v>54</v>
      </c>
      <c r="D24" s="55" t="s">
        <v>55</v>
      </c>
      <c r="E24" s="55" t="s">
        <v>56</v>
      </c>
      <c r="F24" s="55" t="s">
        <v>57</v>
      </c>
    </row>
    <row r="25" spans="1:6" ht="18" customHeight="1">
      <c r="A25" s="60">
        <v>13</v>
      </c>
      <c r="B25" s="61">
        <f>F18</f>
        <v>9642859</v>
      </c>
      <c r="C25" s="61">
        <f>C18</f>
        <v>119047</v>
      </c>
      <c r="D25" s="61">
        <f aca="true" t="shared" si="4" ref="D25:D36">B25*14%/12</f>
        <v>112500.02166666668</v>
      </c>
      <c r="E25" s="61">
        <f aca="true" t="shared" si="5" ref="E25:E36">C25+D25</f>
        <v>231547.02166666667</v>
      </c>
      <c r="F25" s="61">
        <f aca="true" t="shared" si="6" ref="F25:F36">B25-C25</f>
        <v>9523812</v>
      </c>
    </row>
    <row r="26" spans="1:6" ht="18" customHeight="1">
      <c r="A26" s="60">
        <v>14</v>
      </c>
      <c r="B26" s="61">
        <f aca="true" t="shared" si="7" ref="B26:B36">F25</f>
        <v>9523812</v>
      </c>
      <c r="C26" s="61">
        <f aca="true" t="shared" si="8" ref="C26:C36">C25</f>
        <v>119047</v>
      </c>
      <c r="D26" s="61">
        <f t="shared" si="4"/>
        <v>111111.14000000001</v>
      </c>
      <c r="E26" s="61">
        <f t="shared" si="5"/>
        <v>230158.14</v>
      </c>
      <c r="F26" s="61">
        <f t="shared" si="6"/>
        <v>9404765</v>
      </c>
    </row>
    <row r="27" spans="1:6" ht="18" customHeight="1">
      <c r="A27" s="60">
        <v>15</v>
      </c>
      <c r="B27" s="62">
        <f t="shared" si="7"/>
        <v>9404765</v>
      </c>
      <c r="C27" s="61">
        <f t="shared" si="8"/>
        <v>119047</v>
      </c>
      <c r="D27" s="61">
        <f t="shared" si="4"/>
        <v>109722.25833333335</v>
      </c>
      <c r="E27" s="61">
        <f t="shared" si="5"/>
        <v>228769.25833333336</v>
      </c>
      <c r="F27" s="61">
        <f t="shared" si="6"/>
        <v>9285718</v>
      </c>
    </row>
    <row r="28" spans="1:6" ht="18" customHeight="1">
      <c r="A28" s="60">
        <v>16</v>
      </c>
      <c r="B28" s="62">
        <f t="shared" si="7"/>
        <v>9285718</v>
      </c>
      <c r="C28" s="61">
        <f t="shared" si="8"/>
        <v>119047</v>
      </c>
      <c r="D28" s="61">
        <f t="shared" si="4"/>
        <v>108333.37666666666</v>
      </c>
      <c r="E28" s="61">
        <f t="shared" si="5"/>
        <v>227380.37666666665</v>
      </c>
      <c r="F28" s="61">
        <f t="shared" si="6"/>
        <v>9166671</v>
      </c>
    </row>
    <row r="29" spans="1:6" ht="18" customHeight="1">
      <c r="A29" s="60">
        <v>17</v>
      </c>
      <c r="B29" s="62">
        <f t="shared" si="7"/>
        <v>9166671</v>
      </c>
      <c r="C29" s="61">
        <f t="shared" si="8"/>
        <v>119047</v>
      </c>
      <c r="D29" s="61">
        <f t="shared" si="4"/>
        <v>106944.49500000001</v>
      </c>
      <c r="E29" s="61">
        <f t="shared" si="5"/>
        <v>225991.495</v>
      </c>
      <c r="F29" s="61">
        <f t="shared" si="6"/>
        <v>9047624</v>
      </c>
    </row>
    <row r="30" spans="1:6" ht="18" customHeight="1">
      <c r="A30" s="60">
        <v>18</v>
      </c>
      <c r="B30" s="62">
        <f t="shared" si="7"/>
        <v>9047624</v>
      </c>
      <c r="C30" s="61">
        <f t="shared" si="8"/>
        <v>119047</v>
      </c>
      <c r="D30" s="61">
        <f t="shared" si="4"/>
        <v>105555.61333333334</v>
      </c>
      <c r="E30" s="61">
        <f t="shared" si="5"/>
        <v>224602.61333333334</v>
      </c>
      <c r="F30" s="61">
        <f t="shared" si="6"/>
        <v>8928577</v>
      </c>
    </row>
    <row r="31" spans="1:6" ht="18" customHeight="1">
      <c r="A31" s="60">
        <v>19</v>
      </c>
      <c r="B31" s="62">
        <f t="shared" si="7"/>
        <v>8928577</v>
      </c>
      <c r="C31" s="61">
        <f t="shared" si="8"/>
        <v>119047</v>
      </c>
      <c r="D31" s="61">
        <f t="shared" si="4"/>
        <v>104166.73166666667</v>
      </c>
      <c r="E31" s="61">
        <f t="shared" si="5"/>
        <v>223213.7316666667</v>
      </c>
      <c r="F31" s="61">
        <f t="shared" si="6"/>
        <v>8809530</v>
      </c>
    </row>
    <row r="32" spans="1:6" ht="18" customHeight="1">
      <c r="A32" s="60">
        <v>20</v>
      </c>
      <c r="B32" s="62">
        <f t="shared" si="7"/>
        <v>8809530</v>
      </c>
      <c r="C32" s="61">
        <f t="shared" si="8"/>
        <v>119047</v>
      </c>
      <c r="D32" s="61">
        <f t="shared" si="4"/>
        <v>102777.85000000002</v>
      </c>
      <c r="E32" s="61">
        <f t="shared" si="5"/>
        <v>221824.85000000003</v>
      </c>
      <c r="F32" s="61">
        <f t="shared" si="6"/>
        <v>8690483</v>
      </c>
    </row>
    <row r="33" spans="1:6" ht="13.5" customHeight="1">
      <c r="A33" s="60">
        <v>21</v>
      </c>
      <c r="B33" s="62">
        <f t="shared" si="7"/>
        <v>8690483</v>
      </c>
      <c r="C33" s="61">
        <f t="shared" si="8"/>
        <v>119047</v>
      </c>
      <c r="D33" s="61">
        <f t="shared" si="4"/>
        <v>101388.96833333334</v>
      </c>
      <c r="E33" s="61">
        <f t="shared" si="5"/>
        <v>220435.96833333332</v>
      </c>
      <c r="F33" s="61">
        <f t="shared" si="6"/>
        <v>8571436</v>
      </c>
    </row>
    <row r="34" spans="1:6" ht="15.75" customHeight="1">
      <c r="A34" s="60">
        <v>22</v>
      </c>
      <c r="B34" s="62">
        <f t="shared" si="7"/>
        <v>8571436</v>
      </c>
      <c r="C34" s="61">
        <f t="shared" si="8"/>
        <v>119047</v>
      </c>
      <c r="D34" s="61">
        <f t="shared" si="4"/>
        <v>100000.08666666667</v>
      </c>
      <c r="E34" s="61">
        <f t="shared" si="5"/>
        <v>219047.08666666667</v>
      </c>
      <c r="F34" s="61">
        <f t="shared" si="6"/>
        <v>8452389</v>
      </c>
    </row>
    <row r="35" spans="1:6" ht="13.5" customHeight="1">
      <c r="A35" s="60">
        <v>23</v>
      </c>
      <c r="B35" s="62">
        <f t="shared" si="7"/>
        <v>8452389</v>
      </c>
      <c r="C35" s="61">
        <f t="shared" si="8"/>
        <v>119047</v>
      </c>
      <c r="D35" s="61">
        <f t="shared" si="4"/>
        <v>98611.20500000002</v>
      </c>
      <c r="E35" s="61">
        <f t="shared" si="5"/>
        <v>217658.20500000002</v>
      </c>
      <c r="F35" s="61">
        <f t="shared" si="6"/>
        <v>8333342</v>
      </c>
    </row>
    <row r="36" spans="1:6" ht="13.5" customHeight="1">
      <c r="A36" s="60">
        <v>24</v>
      </c>
      <c r="B36" s="62">
        <f t="shared" si="7"/>
        <v>8333342</v>
      </c>
      <c r="C36" s="61">
        <f t="shared" si="8"/>
        <v>119047</v>
      </c>
      <c r="D36" s="61">
        <f t="shared" si="4"/>
        <v>97222.32333333335</v>
      </c>
      <c r="E36" s="61">
        <f t="shared" si="5"/>
        <v>216269.32333333336</v>
      </c>
      <c r="F36" s="61">
        <f t="shared" si="6"/>
        <v>8214295</v>
      </c>
    </row>
    <row r="37" spans="1:6" ht="18.75" customHeight="1" thickBot="1">
      <c r="A37" s="150"/>
      <c r="B37" s="152" t="s">
        <v>58</v>
      </c>
      <c r="C37" s="152">
        <f>SUM(C25:C36)</f>
        <v>1428564</v>
      </c>
      <c r="D37" s="152">
        <f>SUM(D25:D36)</f>
        <v>1258334.07</v>
      </c>
      <c r="E37" s="152">
        <f>SUM(E25:E36)</f>
        <v>2686898.07</v>
      </c>
      <c r="F37" s="157"/>
    </row>
    <row r="38" spans="1:6" ht="21" customHeight="1" thickTop="1">
      <c r="A38" s="154"/>
      <c r="B38" s="155"/>
      <c r="C38" s="155"/>
      <c r="D38" s="155"/>
      <c r="E38" s="155"/>
      <c r="F38" s="156"/>
    </row>
    <row r="39" spans="1:6" ht="21" customHeight="1">
      <c r="A39" s="204" t="s">
        <v>60</v>
      </c>
      <c r="B39" s="205"/>
      <c r="C39" s="53"/>
      <c r="D39" s="53"/>
      <c r="E39" s="53"/>
      <c r="F39" s="53"/>
    </row>
    <row r="40" spans="1:6" ht="23.25" customHeight="1">
      <c r="A40" s="54" t="s">
        <v>50</v>
      </c>
      <c r="B40" s="55"/>
      <c r="C40" s="55" t="s">
        <v>51</v>
      </c>
      <c r="D40" s="56"/>
      <c r="E40" s="57">
        <v>0.14</v>
      </c>
      <c r="F40" s="58"/>
    </row>
    <row r="41" spans="1:6" ht="19.5" customHeight="1">
      <c r="A41" s="59" t="s">
        <v>52</v>
      </c>
      <c r="B41" s="55" t="s">
        <v>53</v>
      </c>
      <c r="C41" s="55" t="s">
        <v>54</v>
      </c>
      <c r="D41" s="55" t="s">
        <v>55</v>
      </c>
      <c r="E41" s="55" t="s">
        <v>56</v>
      </c>
      <c r="F41" s="55" t="s">
        <v>57</v>
      </c>
    </row>
    <row r="42" spans="1:6" ht="11.25" customHeight="1">
      <c r="A42" s="60">
        <v>25</v>
      </c>
      <c r="B42" s="62">
        <f>F36</f>
        <v>8214295</v>
      </c>
      <c r="C42" s="61">
        <f>C36</f>
        <v>119047</v>
      </c>
      <c r="D42" s="61">
        <f aca="true" t="shared" si="9" ref="D42:D53">B42*14%/12</f>
        <v>95833.44166666667</v>
      </c>
      <c r="E42" s="61">
        <f aca="true" t="shared" si="10" ref="E42:E53">C42+D42</f>
        <v>214880.44166666665</v>
      </c>
      <c r="F42" s="61">
        <f aca="true" t="shared" si="11" ref="F42:F53">B42-C42</f>
        <v>8095248</v>
      </c>
    </row>
    <row r="43" spans="1:6" ht="13.5" customHeight="1">
      <c r="A43" s="60">
        <v>26</v>
      </c>
      <c r="B43" s="62">
        <f aca="true" t="shared" si="12" ref="B43:B53">F42</f>
        <v>8095248</v>
      </c>
      <c r="C43" s="61">
        <f aca="true" t="shared" si="13" ref="C43:C53">C42</f>
        <v>119047</v>
      </c>
      <c r="D43" s="61">
        <f t="shared" si="9"/>
        <v>94444.56000000001</v>
      </c>
      <c r="E43" s="61">
        <f t="shared" si="10"/>
        <v>213491.56</v>
      </c>
      <c r="F43" s="61">
        <f t="shared" si="11"/>
        <v>7976201</v>
      </c>
    </row>
    <row r="44" spans="1:6" ht="13.5" customHeight="1">
      <c r="A44" s="60">
        <v>27</v>
      </c>
      <c r="B44" s="62">
        <f t="shared" si="12"/>
        <v>7976201</v>
      </c>
      <c r="C44" s="61">
        <f t="shared" si="13"/>
        <v>119047</v>
      </c>
      <c r="D44" s="61">
        <f t="shared" si="9"/>
        <v>93055.67833333334</v>
      </c>
      <c r="E44" s="61">
        <f t="shared" si="10"/>
        <v>212102.67833333334</v>
      </c>
      <c r="F44" s="61">
        <f t="shared" si="11"/>
        <v>7857154</v>
      </c>
    </row>
    <row r="45" spans="1:6" ht="18" customHeight="1">
      <c r="A45" s="60">
        <v>28</v>
      </c>
      <c r="B45" s="62">
        <f t="shared" si="12"/>
        <v>7857154</v>
      </c>
      <c r="C45" s="61">
        <f t="shared" si="13"/>
        <v>119047</v>
      </c>
      <c r="D45" s="61">
        <f t="shared" si="9"/>
        <v>91666.79666666668</v>
      </c>
      <c r="E45" s="61">
        <f t="shared" si="10"/>
        <v>210713.7966666667</v>
      </c>
      <c r="F45" s="61">
        <f t="shared" si="11"/>
        <v>7738107</v>
      </c>
    </row>
    <row r="46" spans="1:6" ht="18" customHeight="1">
      <c r="A46" s="60">
        <v>29</v>
      </c>
      <c r="B46" s="62">
        <f t="shared" si="12"/>
        <v>7738107</v>
      </c>
      <c r="C46" s="61">
        <f t="shared" si="13"/>
        <v>119047</v>
      </c>
      <c r="D46" s="61">
        <f t="shared" si="9"/>
        <v>90277.91500000002</v>
      </c>
      <c r="E46" s="61">
        <f t="shared" si="10"/>
        <v>209324.91500000004</v>
      </c>
      <c r="F46" s="61">
        <f t="shared" si="11"/>
        <v>7619060</v>
      </c>
    </row>
    <row r="47" spans="1:6" ht="18" customHeight="1">
      <c r="A47" s="60">
        <v>30</v>
      </c>
      <c r="B47" s="62">
        <f t="shared" si="12"/>
        <v>7619060</v>
      </c>
      <c r="C47" s="61">
        <f t="shared" si="13"/>
        <v>119047</v>
      </c>
      <c r="D47" s="61">
        <f t="shared" si="9"/>
        <v>88889.03333333334</v>
      </c>
      <c r="E47" s="61">
        <f t="shared" si="10"/>
        <v>207936.03333333333</v>
      </c>
      <c r="F47" s="61">
        <f t="shared" si="11"/>
        <v>7500013</v>
      </c>
    </row>
    <row r="48" spans="1:6" ht="18" customHeight="1">
      <c r="A48" s="60">
        <v>31</v>
      </c>
      <c r="B48" s="62">
        <f t="shared" si="12"/>
        <v>7500013</v>
      </c>
      <c r="C48" s="61">
        <f t="shared" si="13"/>
        <v>119047</v>
      </c>
      <c r="D48" s="61">
        <f t="shared" si="9"/>
        <v>87500.15166666667</v>
      </c>
      <c r="E48" s="61">
        <f t="shared" si="10"/>
        <v>206547.15166666667</v>
      </c>
      <c r="F48" s="61">
        <f t="shared" si="11"/>
        <v>7380966</v>
      </c>
    </row>
    <row r="49" spans="1:6" ht="18" customHeight="1">
      <c r="A49" s="60">
        <v>32</v>
      </c>
      <c r="B49" s="62">
        <f t="shared" si="12"/>
        <v>7380966</v>
      </c>
      <c r="C49" s="61">
        <f t="shared" si="13"/>
        <v>119047</v>
      </c>
      <c r="D49" s="61">
        <f t="shared" si="9"/>
        <v>86111.27</v>
      </c>
      <c r="E49" s="61">
        <f t="shared" si="10"/>
        <v>205158.27000000002</v>
      </c>
      <c r="F49" s="61">
        <f t="shared" si="11"/>
        <v>7261919</v>
      </c>
    </row>
    <row r="50" spans="1:6" ht="18" customHeight="1">
      <c r="A50" s="60">
        <v>33</v>
      </c>
      <c r="B50" s="62">
        <f t="shared" si="12"/>
        <v>7261919</v>
      </c>
      <c r="C50" s="61">
        <f t="shared" si="13"/>
        <v>119047</v>
      </c>
      <c r="D50" s="61">
        <f t="shared" si="9"/>
        <v>84722.38833333335</v>
      </c>
      <c r="E50" s="61">
        <f t="shared" si="10"/>
        <v>203769.38833333337</v>
      </c>
      <c r="F50" s="61">
        <f t="shared" si="11"/>
        <v>7142872</v>
      </c>
    </row>
    <row r="51" spans="1:6" ht="18" customHeight="1">
      <c r="A51" s="60">
        <v>34</v>
      </c>
      <c r="B51" s="62">
        <f t="shared" si="12"/>
        <v>7142872</v>
      </c>
      <c r="C51" s="61">
        <f t="shared" si="13"/>
        <v>119047</v>
      </c>
      <c r="D51" s="61">
        <f t="shared" si="9"/>
        <v>83333.50666666667</v>
      </c>
      <c r="E51" s="61">
        <f t="shared" si="10"/>
        <v>202380.50666666665</v>
      </c>
      <c r="F51" s="61">
        <f t="shared" si="11"/>
        <v>7023825</v>
      </c>
    </row>
    <row r="52" spans="1:6" ht="18" customHeight="1">
      <c r="A52" s="60">
        <v>35</v>
      </c>
      <c r="B52" s="62">
        <f t="shared" si="12"/>
        <v>7023825</v>
      </c>
      <c r="C52" s="61">
        <f t="shared" si="13"/>
        <v>119047</v>
      </c>
      <c r="D52" s="61">
        <f t="shared" si="9"/>
        <v>81944.62500000001</v>
      </c>
      <c r="E52" s="61">
        <f t="shared" si="10"/>
        <v>200991.625</v>
      </c>
      <c r="F52" s="61">
        <f t="shared" si="11"/>
        <v>6904778</v>
      </c>
    </row>
    <row r="53" spans="1:6" ht="18" customHeight="1">
      <c r="A53" s="60">
        <v>36</v>
      </c>
      <c r="B53" s="62">
        <f t="shared" si="12"/>
        <v>6904778</v>
      </c>
      <c r="C53" s="61">
        <f t="shared" si="13"/>
        <v>119047</v>
      </c>
      <c r="D53" s="61">
        <f t="shared" si="9"/>
        <v>80555.74333333333</v>
      </c>
      <c r="E53" s="61">
        <f t="shared" si="10"/>
        <v>199602.74333333335</v>
      </c>
      <c r="F53" s="61">
        <f t="shared" si="11"/>
        <v>6785731</v>
      </c>
    </row>
    <row r="54" spans="1:6" ht="18" customHeight="1" thickBot="1">
      <c r="A54" s="158"/>
      <c r="B54" s="152" t="s">
        <v>58</v>
      </c>
      <c r="C54" s="152">
        <f>SUM(C42:C53)</f>
        <v>1428564</v>
      </c>
      <c r="D54" s="152">
        <f>SUM(D42:D53)</f>
        <v>1058335.1100000003</v>
      </c>
      <c r="E54" s="152">
        <f>SUM(E42:E53)</f>
        <v>2486899.1099999994</v>
      </c>
      <c r="F54" s="159"/>
    </row>
    <row r="55" spans="1:6" ht="18" customHeight="1" thickTop="1">
      <c r="A55" s="154"/>
      <c r="B55" s="155"/>
      <c r="C55" s="155"/>
      <c r="D55" s="155"/>
      <c r="E55" s="155"/>
      <c r="F55" s="156"/>
    </row>
    <row r="56" spans="1:6" ht="18" customHeight="1">
      <c r="A56" s="204" t="s">
        <v>61</v>
      </c>
      <c r="B56" s="205"/>
      <c r="C56" s="53"/>
      <c r="D56" s="53"/>
      <c r="E56" s="53"/>
      <c r="F56" s="53"/>
    </row>
    <row r="57" spans="1:6" ht="18" customHeight="1">
      <c r="A57" s="54" t="s">
        <v>50</v>
      </c>
      <c r="B57" s="55"/>
      <c r="C57" s="55" t="s">
        <v>51</v>
      </c>
      <c r="D57" s="56"/>
      <c r="E57" s="57">
        <v>0.14</v>
      </c>
      <c r="F57" s="58"/>
    </row>
    <row r="58" spans="1:6" ht="18" customHeight="1">
      <c r="A58" s="59" t="s">
        <v>52</v>
      </c>
      <c r="B58" s="55" t="s">
        <v>53</v>
      </c>
      <c r="C58" s="55" t="s">
        <v>54</v>
      </c>
      <c r="D58" s="55" t="s">
        <v>55</v>
      </c>
      <c r="E58" s="55" t="s">
        <v>56</v>
      </c>
      <c r="F58" s="55" t="s">
        <v>57</v>
      </c>
    </row>
    <row r="59" spans="1:6" ht="12" customHeight="1">
      <c r="A59" s="60">
        <v>37</v>
      </c>
      <c r="B59" s="62">
        <f>F53</f>
        <v>6785731</v>
      </c>
      <c r="C59" s="61">
        <f>C53</f>
        <v>119047</v>
      </c>
      <c r="D59" s="61">
        <f aca="true" t="shared" si="14" ref="D59:D70">B59*14%/12</f>
        <v>79166.86166666668</v>
      </c>
      <c r="E59" s="61">
        <f aca="true" t="shared" si="15" ref="E59:E70">C59+D59</f>
        <v>198213.8616666667</v>
      </c>
      <c r="F59" s="61">
        <f aca="true" t="shared" si="16" ref="F59:F70">B59-C59</f>
        <v>6666684</v>
      </c>
    </row>
    <row r="60" spans="1:6" ht="14.25" customHeight="1">
      <c r="A60" s="60">
        <v>38</v>
      </c>
      <c r="B60" s="62">
        <f aca="true" t="shared" si="17" ref="B60:B70">F59</f>
        <v>6666684</v>
      </c>
      <c r="C60" s="61">
        <f aca="true" t="shared" si="18" ref="C60:C70">C59</f>
        <v>119047</v>
      </c>
      <c r="D60" s="61">
        <f t="shared" si="14"/>
        <v>77777.98000000001</v>
      </c>
      <c r="E60" s="61">
        <f t="shared" si="15"/>
        <v>196824.98</v>
      </c>
      <c r="F60" s="61">
        <f t="shared" si="16"/>
        <v>6547637</v>
      </c>
    </row>
    <row r="61" spans="1:6" ht="15" customHeight="1">
      <c r="A61" s="60">
        <v>39</v>
      </c>
      <c r="B61" s="62">
        <f t="shared" si="17"/>
        <v>6547637</v>
      </c>
      <c r="C61" s="61">
        <f t="shared" si="18"/>
        <v>119047</v>
      </c>
      <c r="D61" s="61">
        <f t="shared" si="14"/>
        <v>76389.09833333334</v>
      </c>
      <c r="E61" s="61">
        <f t="shared" si="15"/>
        <v>195436.09833333333</v>
      </c>
      <c r="F61" s="61">
        <f t="shared" si="16"/>
        <v>6428590</v>
      </c>
    </row>
    <row r="62" spans="1:6" ht="18" customHeight="1">
      <c r="A62" s="60">
        <v>40</v>
      </c>
      <c r="B62" s="62">
        <f t="shared" si="17"/>
        <v>6428590</v>
      </c>
      <c r="C62" s="61">
        <f t="shared" si="18"/>
        <v>119047</v>
      </c>
      <c r="D62" s="61">
        <f t="shared" si="14"/>
        <v>75000.21666666667</v>
      </c>
      <c r="E62" s="61">
        <f t="shared" si="15"/>
        <v>194047.21666666667</v>
      </c>
      <c r="F62" s="61">
        <f t="shared" si="16"/>
        <v>6309543</v>
      </c>
    </row>
    <row r="63" spans="1:6" ht="18" customHeight="1">
      <c r="A63" s="60">
        <v>41</v>
      </c>
      <c r="B63" s="62">
        <f t="shared" si="17"/>
        <v>6309543</v>
      </c>
      <c r="C63" s="61">
        <f t="shared" si="18"/>
        <v>119047</v>
      </c>
      <c r="D63" s="61">
        <f t="shared" si="14"/>
        <v>73611.335</v>
      </c>
      <c r="E63" s="61">
        <f t="shared" si="15"/>
        <v>192658.33500000002</v>
      </c>
      <c r="F63" s="61">
        <f t="shared" si="16"/>
        <v>6190496</v>
      </c>
    </row>
    <row r="64" spans="1:6" ht="18" customHeight="1">
      <c r="A64" s="60">
        <v>42</v>
      </c>
      <c r="B64" s="62">
        <f t="shared" si="17"/>
        <v>6190496</v>
      </c>
      <c r="C64" s="61">
        <f t="shared" si="18"/>
        <v>119047</v>
      </c>
      <c r="D64" s="61">
        <f t="shared" si="14"/>
        <v>72222.45333333334</v>
      </c>
      <c r="E64" s="61">
        <f t="shared" si="15"/>
        <v>191269.45333333334</v>
      </c>
      <c r="F64" s="61">
        <f t="shared" si="16"/>
        <v>6071449</v>
      </c>
    </row>
    <row r="65" spans="1:6" ht="18" customHeight="1">
      <c r="A65" s="60">
        <v>43</v>
      </c>
      <c r="B65" s="62">
        <f t="shared" si="17"/>
        <v>6071449</v>
      </c>
      <c r="C65" s="61">
        <f t="shared" si="18"/>
        <v>119047</v>
      </c>
      <c r="D65" s="61">
        <f t="shared" si="14"/>
        <v>70833.57166666667</v>
      </c>
      <c r="E65" s="61">
        <f t="shared" si="15"/>
        <v>189880.57166666666</v>
      </c>
      <c r="F65" s="61">
        <f t="shared" si="16"/>
        <v>5952402</v>
      </c>
    </row>
    <row r="66" spans="1:6" ht="18" customHeight="1">
      <c r="A66" s="60">
        <v>44</v>
      </c>
      <c r="B66" s="62">
        <f t="shared" si="17"/>
        <v>5952402</v>
      </c>
      <c r="C66" s="61">
        <f t="shared" si="18"/>
        <v>119047</v>
      </c>
      <c r="D66" s="61">
        <f t="shared" si="14"/>
        <v>69444.69</v>
      </c>
      <c r="E66" s="61">
        <f t="shared" si="15"/>
        <v>188491.69</v>
      </c>
      <c r="F66" s="61">
        <f t="shared" si="16"/>
        <v>5833355</v>
      </c>
    </row>
    <row r="67" spans="1:6" ht="18" customHeight="1">
      <c r="A67" s="60">
        <v>45</v>
      </c>
      <c r="B67" s="62">
        <f t="shared" si="17"/>
        <v>5833355</v>
      </c>
      <c r="C67" s="61">
        <f t="shared" si="18"/>
        <v>119047</v>
      </c>
      <c r="D67" s="61">
        <f t="shared" si="14"/>
        <v>68055.80833333333</v>
      </c>
      <c r="E67" s="61">
        <f t="shared" si="15"/>
        <v>187102.80833333335</v>
      </c>
      <c r="F67" s="61">
        <f t="shared" si="16"/>
        <v>5714308</v>
      </c>
    </row>
    <row r="68" spans="1:6" ht="18" customHeight="1">
      <c r="A68" s="60">
        <v>46</v>
      </c>
      <c r="B68" s="62">
        <f t="shared" si="17"/>
        <v>5714308</v>
      </c>
      <c r="C68" s="61">
        <f t="shared" si="18"/>
        <v>119047</v>
      </c>
      <c r="D68" s="61">
        <f t="shared" si="14"/>
        <v>66666.92666666668</v>
      </c>
      <c r="E68" s="61">
        <f t="shared" si="15"/>
        <v>185713.9266666667</v>
      </c>
      <c r="F68" s="61">
        <f t="shared" si="16"/>
        <v>5595261</v>
      </c>
    </row>
    <row r="69" spans="1:6" ht="18" customHeight="1">
      <c r="A69" s="60">
        <v>47</v>
      </c>
      <c r="B69" s="62">
        <f t="shared" si="17"/>
        <v>5595261</v>
      </c>
      <c r="C69" s="61">
        <f t="shared" si="18"/>
        <v>119047</v>
      </c>
      <c r="D69" s="61">
        <f t="shared" si="14"/>
        <v>65278.045000000006</v>
      </c>
      <c r="E69" s="61">
        <f t="shared" si="15"/>
        <v>184325.045</v>
      </c>
      <c r="F69" s="61">
        <f t="shared" si="16"/>
        <v>5476214</v>
      </c>
    </row>
    <row r="70" spans="1:6" ht="18" customHeight="1">
      <c r="A70" s="60">
        <v>48</v>
      </c>
      <c r="B70" s="62">
        <f t="shared" si="17"/>
        <v>5476214</v>
      </c>
      <c r="C70" s="61">
        <f t="shared" si="18"/>
        <v>119047</v>
      </c>
      <c r="D70" s="61">
        <f t="shared" si="14"/>
        <v>63889.16333333334</v>
      </c>
      <c r="E70" s="61">
        <f t="shared" si="15"/>
        <v>182936.16333333333</v>
      </c>
      <c r="F70" s="61">
        <f t="shared" si="16"/>
        <v>5357167</v>
      </c>
    </row>
    <row r="71" spans="1:6" ht="18" customHeight="1" thickBot="1">
      <c r="A71" s="150"/>
      <c r="B71" s="152" t="s">
        <v>58</v>
      </c>
      <c r="C71" s="152">
        <f>SUM(C59:C70)</f>
        <v>1428564</v>
      </c>
      <c r="D71" s="152">
        <f>SUM(D59:D70)</f>
        <v>858336.1500000001</v>
      </c>
      <c r="E71" s="152">
        <f>SUM(E59:E70)</f>
        <v>2286900.1500000004</v>
      </c>
      <c r="F71" s="157"/>
    </row>
    <row r="72" spans="1:6" ht="18" customHeight="1" thickTop="1">
      <c r="A72" s="31"/>
      <c r="B72" s="65"/>
      <c r="C72" s="65"/>
      <c r="D72" s="65"/>
      <c r="E72" s="65"/>
      <c r="F72" s="66"/>
    </row>
    <row r="73" spans="1:6" ht="18" customHeight="1">
      <c r="A73" s="204" t="s">
        <v>62</v>
      </c>
      <c r="B73" s="205"/>
      <c r="C73" s="53"/>
      <c r="D73" s="53"/>
      <c r="E73" s="53"/>
      <c r="F73" s="53"/>
    </row>
    <row r="74" spans="1:6" ht="18" customHeight="1">
      <c r="A74" s="54" t="s">
        <v>50</v>
      </c>
      <c r="B74" s="55"/>
      <c r="C74" s="55" t="s">
        <v>51</v>
      </c>
      <c r="D74" s="56"/>
      <c r="E74" s="57">
        <v>0.14</v>
      </c>
      <c r="F74" s="58"/>
    </row>
    <row r="75" spans="1:6" ht="18" customHeight="1">
      <c r="A75" s="59" t="s">
        <v>52</v>
      </c>
      <c r="B75" s="55" t="s">
        <v>53</v>
      </c>
      <c r="C75" s="55" t="s">
        <v>54</v>
      </c>
      <c r="D75" s="55" t="s">
        <v>55</v>
      </c>
      <c r="E75" s="55" t="s">
        <v>56</v>
      </c>
      <c r="F75" s="55" t="s">
        <v>57</v>
      </c>
    </row>
    <row r="76" spans="1:6" ht="18" customHeight="1">
      <c r="A76" s="60">
        <v>49</v>
      </c>
      <c r="B76" s="62">
        <f>F70</f>
        <v>5357167</v>
      </c>
      <c r="C76" s="61">
        <f>C70</f>
        <v>119047</v>
      </c>
      <c r="D76" s="61">
        <f aca="true" t="shared" si="19" ref="D76:D87">B76*14%/12</f>
        <v>62500.28166666668</v>
      </c>
      <c r="E76" s="61">
        <f aca="true" t="shared" si="20" ref="E76:E87">C76+D76</f>
        <v>181547.28166666668</v>
      </c>
      <c r="F76" s="61">
        <f aca="true" t="shared" si="21" ref="F76:F87">B76-C76</f>
        <v>5238120</v>
      </c>
    </row>
    <row r="77" spans="1:6" ht="24.75" customHeight="1">
      <c r="A77" s="60">
        <v>50</v>
      </c>
      <c r="B77" s="62">
        <f aca="true" t="shared" si="22" ref="B77:B87">F76</f>
        <v>5238120</v>
      </c>
      <c r="C77" s="61">
        <f aca="true" t="shared" si="23" ref="C77:C87">C76</f>
        <v>119047</v>
      </c>
      <c r="D77" s="61">
        <f t="shared" si="19"/>
        <v>61111.4</v>
      </c>
      <c r="E77" s="61">
        <f t="shared" si="20"/>
        <v>180158.4</v>
      </c>
      <c r="F77" s="61">
        <f t="shared" si="21"/>
        <v>5119073</v>
      </c>
    </row>
    <row r="78" spans="1:6" ht="17.25" customHeight="1">
      <c r="A78" s="60">
        <v>51</v>
      </c>
      <c r="B78" s="62">
        <f t="shared" si="22"/>
        <v>5119073</v>
      </c>
      <c r="C78" s="61">
        <f t="shared" si="23"/>
        <v>119047</v>
      </c>
      <c r="D78" s="61">
        <f t="shared" si="19"/>
        <v>59722.51833333334</v>
      </c>
      <c r="E78" s="61">
        <f t="shared" si="20"/>
        <v>178769.51833333334</v>
      </c>
      <c r="F78" s="61">
        <f t="shared" si="21"/>
        <v>5000026</v>
      </c>
    </row>
    <row r="79" spans="1:6" ht="20.25" customHeight="1">
      <c r="A79" s="60">
        <v>52</v>
      </c>
      <c r="B79" s="62">
        <f t="shared" si="22"/>
        <v>5000026</v>
      </c>
      <c r="C79" s="61">
        <f t="shared" si="23"/>
        <v>119047</v>
      </c>
      <c r="D79" s="61">
        <f t="shared" si="19"/>
        <v>58333.636666666665</v>
      </c>
      <c r="E79" s="61">
        <f t="shared" si="20"/>
        <v>177380.63666666666</v>
      </c>
      <c r="F79" s="61">
        <f t="shared" si="21"/>
        <v>4880979</v>
      </c>
    </row>
    <row r="80" spans="1:6" ht="18" customHeight="1">
      <c r="A80" s="60">
        <v>53</v>
      </c>
      <c r="B80" s="62">
        <f t="shared" si="22"/>
        <v>4880979</v>
      </c>
      <c r="C80" s="61">
        <f t="shared" si="23"/>
        <v>119047</v>
      </c>
      <c r="D80" s="61">
        <f t="shared" si="19"/>
        <v>56944.755000000005</v>
      </c>
      <c r="E80" s="61">
        <f t="shared" si="20"/>
        <v>175991.755</v>
      </c>
      <c r="F80" s="61">
        <f t="shared" si="21"/>
        <v>4761932</v>
      </c>
    </row>
    <row r="81" spans="1:6" ht="18" customHeight="1">
      <c r="A81" s="60">
        <v>54</v>
      </c>
      <c r="B81" s="62">
        <f t="shared" si="22"/>
        <v>4761932</v>
      </c>
      <c r="C81" s="61">
        <f t="shared" si="23"/>
        <v>119047</v>
      </c>
      <c r="D81" s="61">
        <f t="shared" si="19"/>
        <v>55555.873333333344</v>
      </c>
      <c r="E81" s="61">
        <f t="shared" si="20"/>
        <v>174602.87333333335</v>
      </c>
      <c r="F81" s="61">
        <f t="shared" si="21"/>
        <v>4642885</v>
      </c>
    </row>
    <row r="82" spans="1:6" ht="18" customHeight="1">
      <c r="A82" s="60">
        <v>55</v>
      </c>
      <c r="B82" s="62">
        <f t="shared" si="22"/>
        <v>4642885</v>
      </c>
      <c r="C82" s="61">
        <f t="shared" si="23"/>
        <v>119047</v>
      </c>
      <c r="D82" s="61">
        <f t="shared" si="19"/>
        <v>54166.99166666667</v>
      </c>
      <c r="E82" s="61">
        <f t="shared" si="20"/>
        <v>173213.99166666667</v>
      </c>
      <c r="F82" s="61">
        <f t="shared" si="21"/>
        <v>4523838</v>
      </c>
    </row>
    <row r="83" spans="1:6" ht="18" customHeight="1">
      <c r="A83" s="60">
        <v>56</v>
      </c>
      <c r="B83" s="62">
        <f t="shared" si="22"/>
        <v>4523838</v>
      </c>
      <c r="C83" s="61">
        <f t="shared" si="23"/>
        <v>119047</v>
      </c>
      <c r="D83" s="61">
        <f t="shared" si="19"/>
        <v>52778.11000000001</v>
      </c>
      <c r="E83" s="61">
        <f t="shared" si="20"/>
        <v>171825.11000000002</v>
      </c>
      <c r="F83" s="61">
        <f t="shared" si="21"/>
        <v>4404791</v>
      </c>
    </row>
    <row r="84" spans="1:6" ht="18" customHeight="1">
      <c r="A84" s="60">
        <v>57</v>
      </c>
      <c r="B84" s="62">
        <f t="shared" si="22"/>
        <v>4404791</v>
      </c>
      <c r="C84" s="61">
        <f t="shared" si="23"/>
        <v>119047</v>
      </c>
      <c r="D84" s="61">
        <f t="shared" si="19"/>
        <v>51389.22833333334</v>
      </c>
      <c r="E84" s="61">
        <f t="shared" si="20"/>
        <v>170436.22833333333</v>
      </c>
      <c r="F84" s="61">
        <f t="shared" si="21"/>
        <v>4285744</v>
      </c>
    </row>
    <row r="85" spans="1:6" ht="18" customHeight="1">
      <c r="A85" s="60">
        <v>58</v>
      </c>
      <c r="B85" s="62">
        <f t="shared" si="22"/>
        <v>4285744</v>
      </c>
      <c r="C85" s="61">
        <f t="shared" si="23"/>
        <v>119047</v>
      </c>
      <c r="D85" s="61">
        <f t="shared" si="19"/>
        <v>50000.34666666667</v>
      </c>
      <c r="E85" s="61">
        <f t="shared" si="20"/>
        <v>169047.34666666668</v>
      </c>
      <c r="F85" s="61">
        <f t="shared" si="21"/>
        <v>4166697</v>
      </c>
    </row>
    <row r="86" spans="1:6" ht="18" customHeight="1">
      <c r="A86" s="60">
        <v>59</v>
      </c>
      <c r="B86" s="62">
        <f t="shared" si="22"/>
        <v>4166697</v>
      </c>
      <c r="C86" s="61">
        <f t="shared" si="23"/>
        <v>119047</v>
      </c>
      <c r="D86" s="61">
        <f t="shared" si="19"/>
        <v>48611.465000000004</v>
      </c>
      <c r="E86" s="61">
        <f t="shared" si="20"/>
        <v>167658.465</v>
      </c>
      <c r="F86" s="61">
        <f t="shared" si="21"/>
        <v>4047650</v>
      </c>
    </row>
    <row r="87" spans="1:6" ht="18" customHeight="1">
      <c r="A87" s="60">
        <v>60</v>
      </c>
      <c r="B87" s="62">
        <f t="shared" si="22"/>
        <v>4047650</v>
      </c>
      <c r="C87" s="61">
        <f t="shared" si="23"/>
        <v>119047</v>
      </c>
      <c r="D87" s="61">
        <f t="shared" si="19"/>
        <v>47222.583333333336</v>
      </c>
      <c r="E87" s="61">
        <f t="shared" si="20"/>
        <v>166269.58333333334</v>
      </c>
      <c r="F87" s="61">
        <f t="shared" si="21"/>
        <v>3928603</v>
      </c>
    </row>
    <row r="88" spans="1:6" ht="18" customHeight="1" thickBot="1">
      <c r="A88" s="150"/>
      <c r="B88" s="152" t="s">
        <v>58</v>
      </c>
      <c r="C88" s="152">
        <f>SUM(C76:C87)</f>
        <v>1428564</v>
      </c>
      <c r="D88" s="152">
        <f>SUM(D76:D87)</f>
        <v>658337.19</v>
      </c>
      <c r="E88" s="152">
        <f>SUM(E76:E87)</f>
        <v>2086901.1900000002</v>
      </c>
      <c r="F88" s="157"/>
    </row>
    <row r="89" ht="18" customHeight="1" thickTop="1"/>
    <row r="90" spans="1:6" ht="18" customHeight="1">
      <c r="A90" s="204" t="s">
        <v>63</v>
      </c>
      <c r="B90" s="205"/>
      <c r="C90" s="53"/>
      <c r="D90" s="53"/>
      <c r="E90" s="53"/>
      <c r="F90" s="53"/>
    </row>
    <row r="91" spans="1:6" ht="18" customHeight="1">
      <c r="A91" s="54" t="s">
        <v>50</v>
      </c>
      <c r="B91" s="55"/>
      <c r="C91" s="55" t="s">
        <v>51</v>
      </c>
      <c r="D91" s="56"/>
      <c r="E91" s="57">
        <v>0.14</v>
      </c>
      <c r="F91" s="58"/>
    </row>
    <row r="92" spans="1:6" ht="18" customHeight="1">
      <c r="A92" s="59" t="s">
        <v>52</v>
      </c>
      <c r="B92" s="55" t="s">
        <v>53</v>
      </c>
      <c r="C92" s="55" t="s">
        <v>54</v>
      </c>
      <c r="D92" s="55" t="s">
        <v>55</v>
      </c>
      <c r="E92" s="55" t="s">
        <v>56</v>
      </c>
      <c r="F92" s="55" t="s">
        <v>57</v>
      </c>
    </row>
    <row r="93" spans="1:6" ht="18" customHeight="1">
      <c r="A93" s="60">
        <v>61</v>
      </c>
      <c r="B93" s="62">
        <f>F87</f>
        <v>3928603</v>
      </c>
      <c r="C93" s="61">
        <f>C87</f>
        <v>119047</v>
      </c>
      <c r="D93" s="61">
        <f>B93*14%/12</f>
        <v>45833.70166666667</v>
      </c>
      <c r="E93" s="61">
        <f>C93+D93</f>
        <v>164880.70166666666</v>
      </c>
      <c r="F93" s="61">
        <f>B93-C93</f>
        <v>3809556</v>
      </c>
    </row>
    <row r="94" spans="1:6" ht="20.25" customHeight="1">
      <c r="A94" s="60">
        <v>62</v>
      </c>
      <c r="B94" s="62">
        <f>F93</f>
        <v>3809556</v>
      </c>
      <c r="C94" s="61">
        <f>C93</f>
        <v>119047</v>
      </c>
      <c r="D94" s="61">
        <f>B94*14%/12</f>
        <v>44444.82000000001</v>
      </c>
      <c r="E94" s="61">
        <f>C94+D94</f>
        <v>163491.82</v>
      </c>
      <c r="F94" s="61">
        <f>B94-C94</f>
        <v>3690509</v>
      </c>
    </row>
    <row r="95" spans="1:6" ht="18" customHeight="1">
      <c r="A95" s="60">
        <v>63</v>
      </c>
      <c r="B95" s="62">
        <f>F94</f>
        <v>3690509</v>
      </c>
      <c r="C95" s="61">
        <f>C94</f>
        <v>119047</v>
      </c>
      <c r="D95" s="61">
        <f>B95*14%/12</f>
        <v>43055.93833333334</v>
      </c>
      <c r="E95" s="61">
        <f aca="true" t="shared" si="24" ref="E95:E104">C95+D95</f>
        <v>162102.93833333335</v>
      </c>
      <c r="F95" s="61">
        <f aca="true" t="shared" si="25" ref="F95:F104">B95-C95</f>
        <v>3571462</v>
      </c>
    </row>
    <row r="96" spans="1:6" ht="18" customHeight="1">
      <c r="A96" s="60">
        <v>64</v>
      </c>
      <c r="B96" s="62">
        <f aca="true" t="shared" si="26" ref="B96:B104">F95</f>
        <v>3571462</v>
      </c>
      <c r="C96" s="61">
        <f aca="true" t="shared" si="27" ref="C96:C104">C95</f>
        <v>119047</v>
      </c>
      <c r="D96" s="61">
        <f aca="true" t="shared" si="28" ref="D96:D104">B96*14%/12</f>
        <v>41667.05666666667</v>
      </c>
      <c r="E96" s="61">
        <f t="shared" si="24"/>
        <v>160714.05666666667</v>
      </c>
      <c r="F96" s="61">
        <f t="shared" si="25"/>
        <v>3452415</v>
      </c>
    </row>
    <row r="97" spans="1:6" ht="18" customHeight="1">
      <c r="A97" s="60">
        <v>65</v>
      </c>
      <c r="B97" s="62">
        <f t="shared" si="26"/>
        <v>3452415</v>
      </c>
      <c r="C97" s="61">
        <f t="shared" si="27"/>
        <v>119047</v>
      </c>
      <c r="D97" s="61">
        <f t="shared" si="28"/>
        <v>40278.175</v>
      </c>
      <c r="E97" s="61">
        <f t="shared" si="24"/>
        <v>159325.175</v>
      </c>
      <c r="F97" s="61">
        <f t="shared" si="25"/>
        <v>3333368</v>
      </c>
    </row>
    <row r="98" spans="1:6" ht="18" customHeight="1">
      <c r="A98" s="60">
        <v>66</v>
      </c>
      <c r="B98" s="62">
        <f t="shared" si="26"/>
        <v>3333368</v>
      </c>
      <c r="C98" s="61">
        <f t="shared" si="27"/>
        <v>119047</v>
      </c>
      <c r="D98" s="61">
        <f t="shared" si="28"/>
        <v>38889.293333333335</v>
      </c>
      <c r="E98" s="61">
        <f t="shared" si="24"/>
        <v>157936.29333333333</v>
      </c>
      <c r="F98" s="61">
        <f t="shared" si="25"/>
        <v>3214321</v>
      </c>
    </row>
    <row r="99" spans="1:6" ht="18" customHeight="1">
      <c r="A99" s="60">
        <v>67</v>
      </c>
      <c r="B99" s="62">
        <f t="shared" si="26"/>
        <v>3214321</v>
      </c>
      <c r="C99" s="61">
        <f t="shared" si="27"/>
        <v>119047</v>
      </c>
      <c r="D99" s="61">
        <f t="shared" si="28"/>
        <v>37500.411666666674</v>
      </c>
      <c r="E99" s="61">
        <f t="shared" si="24"/>
        <v>156547.41166666668</v>
      </c>
      <c r="F99" s="61">
        <f t="shared" si="25"/>
        <v>3095274</v>
      </c>
    </row>
    <row r="100" spans="1:6" ht="18" customHeight="1">
      <c r="A100" s="60">
        <v>68</v>
      </c>
      <c r="B100" s="62">
        <f t="shared" si="26"/>
        <v>3095274</v>
      </c>
      <c r="C100" s="61">
        <f t="shared" si="27"/>
        <v>119047</v>
      </c>
      <c r="D100" s="61">
        <f t="shared" si="28"/>
        <v>36111.530000000006</v>
      </c>
      <c r="E100" s="61">
        <f t="shared" si="24"/>
        <v>155158.53</v>
      </c>
      <c r="F100" s="61">
        <f t="shared" si="25"/>
        <v>2976227</v>
      </c>
    </row>
    <row r="101" spans="1:6" ht="18" customHeight="1">
      <c r="A101" s="60">
        <v>69</v>
      </c>
      <c r="B101" s="62">
        <f t="shared" si="26"/>
        <v>2976227</v>
      </c>
      <c r="C101" s="61">
        <f t="shared" si="27"/>
        <v>119047</v>
      </c>
      <c r="D101" s="61">
        <f t="shared" si="28"/>
        <v>34722.64833333334</v>
      </c>
      <c r="E101" s="61">
        <f t="shared" si="24"/>
        <v>153769.64833333335</v>
      </c>
      <c r="F101" s="61">
        <f t="shared" si="25"/>
        <v>2857180</v>
      </c>
    </row>
    <row r="102" spans="1:6" ht="18" customHeight="1">
      <c r="A102" s="60">
        <v>70</v>
      </c>
      <c r="B102" s="62">
        <f t="shared" si="26"/>
        <v>2857180</v>
      </c>
      <c r="C102" s="61">
        <f t="shared" si="27"/>
        <v>119047</v>
      </c>
      <c r="D102" s="61">
        <f t="shared" si="28"/>
        <v>33333.76666666667</v>
      </c>
      <c r="E102" s="61">
        <f t="shared" si="24"/>
        <v>152380.76666666666</v>
      </c>
      <c r="F102" s="61">
        <f t="shared" si="25"/>
        <v>2738133</v>
      </c>
    </row>
    <row r="103" spans="1:6" ht="18" customHeight="1">
      <c r="A103" s="60">
        <v>71</v>
      </c>
      <c r="B103" s="62">
        <f t="shared" si="26"/>
        <v>2738133</v>
      </c>
      <c r="C103" s="61">
        <f t="shared" si="27"/>
        <v>119047</v>
      </c>
      <c r="D103" s="61">
        <f t="shared" si="28"/>
        <v>31944.885000000006</v>
      </c>
      <c r="E103" s="61">
        <f t="shared" si="24"/>
        <v>150991.885</v>
      </c>
      <c r="F103" s="61">
        <f t="shared" si="25"/>
        <v>2619086</v>
      </c>
    </row>
    <row r="104" spans="1:6" ht="18" customHeight="1">
      <c r="A104" s="60">
        <v>72</v>
      </c>
      <c r="B104" s="62">
        <f t="shared" si="26"/>
        <v>2619086</v>
      </c>
      <c r="C104" s="61">
        <f t="shared" si="27"/>
        <v>119047</v>
      </c>
      <c r="D104" s="61">
        <f t="shared" si="28"/>
        <v>30556.003333333338</v>
      </c>
      <c r="E104" s="61">
        <f t="shared" si="24"/>
        <v>149603.00333333333</v>
      </c>
      <c r="F104" s="61">
        <f t="shared" si="25"/>
        <v>2500039</v>
      </c>
    </row>
    <row r="105" spans="1:6" ht="18" customHeight="1" thickBot="1">
      <c r="A105" s="158"/>
      <c r="B105" s="152" t="s">
        <v>58</v>
      </c>
      <c r="C105" s="152">
        <f>SUM(C93:C104)</f>
        <v>1428564</v>
      </c>
      <c r="D105" s="152">
        <f>SUM(D93:D104)</f>
        <v>458338.2300000001</v>
      </c>
      <c r="E105" s="152">
        <f>SUM(E93:E104)</f>
        <v>1886902.2300000002</v>
      </c>
      <c r="F105" s="159"/>
    </row>
    <row r="106" ht="18" customHeight="1" thickTop="1"/>
    <row r="107" spans="1:6" ht="18" customHeight="1">
      <c r="A107" s="204" t="s">
        <v>163</v>
      </c>
      <c r="B107" s="205"/>
      <c r="C107" s="53"/>
      <c r="D107" s="53"/>
      <c r="E107" s="53"/>
      <c r="F107" s="53"/>
    </row>
    <row r="108" spans="1:6" ht="18" customHeight="1">
      <c r="A108" s="54" t="s">
        <v>50</v>
      </c>
      <c r="B108" s="55"/>
      <c r="C108" s="55" t="s">
        <v>51</v>
      </c>
      <c r="D108" s="56"/>
      <c r="E108" s="57">
        <v>0.14</v>
      </c>
      <c r="F108" s="58"/>
    </row>
    <row r="109" spans="1:6" ht="18" customHeight="1">
      <c r="A109" s="59" t="s">
        <v>52</v>
      </c>
      <c r="B109" s="55" t="s">
        <v>53</v>
      </c>
      <c r="C109" s="55" t="s">
        <v>54</v>
      </c>
      <c r="D109" s="55" t="s">
        <v>55</v>
      </c>
      <c r="E109" s="55" t="s">
        <v>56</v>
      </c>
      <c r="F109" s="55" t="s">
        <v>57</v>
      </c>
    </row>
    <row r="110" spans="1:6" ht="18" customHeight="1">
      <c r="A110" s="60">
        <v>73</v>
      </c>
      <c r="B110" s="62">
        <f>F104</f>
        <v>2500039</v>
      </c>
      <c r="C110" s="61">
        <f>C104</f>
        <v>119047</v>
      </c>
      <c r="D110" s="61">
        <f>B110*14%/12</f>
        <v>29167.12166666667</v>
      </c>
      <c r="E110" s="61">
        <f>C110+D110</f>
        <v>148214.12166666667</v>
      </c>
      <c r="F110" s="61">
        <f>B110-C110</f>
        <v>2380992</v>
      </c>
    </row>
    <row r="111" spans="1:7" ht="18" customHeight="1">
      <c r="A111" s="60">
        <v>74</v>
      </c>
      <c r="B111" s="62">
        <f>F110</f>
        <v>2380992</v>
      </c>
      <c r="C111" s="61">
        <f>C110</f>
        <v>119047</v>
      </c>
      <c r="D111" s="61">
        <f>B111*14%/12</f>
        <v>27778.24</v>
      </c>
      <c r="E111" s="61">
        <f>C111+D111</f>
        <v>146825.24</v>
      </c>
      <c r="F111" s="61">
        <f>B111-C111</f>
        <v>2261945</v>
      </c>
      <c r="G111" s="31"/>
    </row>
    <row r="112" spans="1:7" ht="18" customHeight="1">
      <c r="A112" s="60">
        <v>75</v>
      </c>
      <c r="B112" s="62">
        <f>F111</f>
        <v>2261945</v>
      </c>
      <c r="C112" s="61">
        <f>C111</f>
        <v>119047</v>
      </c>
      <c r="D112" s="61">
        <f>B112*14%/12</f>
        <v>26389.358333333337</v>
      </c>
      <c r="E112" s="61">
        <f>C112+D112</f>
        <v>145436.35833333334</v>
      </c>
      <c r="F112" s="61">
        <f>B112-C112</f>
        <v>2142898</v>
      </c>
      <c r="G112" s="31"/>
    </row>
    <row r="113" spans="1:7" ht="18" customHeight="1">
      <c r="A113" s="60">
        <v>76</v>
      </c>
      <c r="B113" s="62">
        <f aca="true" t="shared" si="29" ref="B113:B121">F112</f>
        <v>2142898</v>
      </c>
      <c r="C113" s="61">
        <f aca="true" t="shared" si="30" ref="C113:C121">C112</f>
        <v>119047</v>
      </c>
      <c r="D113" s="61">
        <f aca="true" t="shared" si="31" ref="D113:D121">B113*14%/12</f>
        <v>25000.47666666667</v>
      </c>
      <c r="E113" s="61">
        <f aca="true" t="shared" si="32" ref="E113:E121">C113+D113</f>
        <v>144047.47666666668</v>
      </c>
      <c r="F113" s="61">
        <f aca="true" t="shared" si="33" ref="F113:F121">B113-C113</f>
        <v>2023851</v>
      </c>
      <c r="G113" s="31"/>
    </row>
    <row r="114" spans="1:7" ht="18" customHeight="1">
      <c r="A114" s="60">
        <v>77</v>
      </c>
      <c r="B114" s="62">
        <f t="shared" si="29"/>
        <v>2023851</v>
      </c>
      <c r="C114" s="61">
        <f t="shared" si="30"/>
        <v>119047</v>
      </c>
      <c r="D114" s="61">
        <f t="shared" si="31"/>
        <v>23611.595</v>
      </c>
      <c r="E114" s="61">
        <f t="shared" si="32"/>
        <v>142658.595</v>
      </c>
      <c r="F114" s="61">
        <f t="shared" si="33"/>
        <v>1904804</v>
      </c>
      <c r="G114" s="31"/>
    </row>
    <row r="115" spans="1:7" ht="18" customHeight="1">
      <c r="A115" s="60">
        <v>78</v>
      </c>
      <c r="B115" s="62">
        <f t="shared" si="29"/>
        <v>1904804</v>
      </c>
      <c r="C115" s="61">
        <f t="shared" si="30"/>
        <v>119047</v>
      </c>
      <c r="D115" s="61">
        <f t="shared" si="31"/>
        <v>22222.713333333333</v>
      </c>
      <c r="E115" s="61">
        <f t="shared" si="32"/>
        <v>141269.71333333332</v>
      </c>
      <c r="F115" s="61">
        <f t="shared" si="33"/>
        <v>1785757</v>
      </c>
      <c r="G115" s="31"/>
    </row>
    <row r="116" spans="1:7" ht="18" customHeight="1">
      <c r="A116" s="60">
        <v>79</v>
      </c>
      <c r="B116" s="62">
        <f t="shared" si="29"/>
        <v>1785757</v>
      </c>
      <c r="C116" s="61">
        <f t="shared" si="30"/>
        <v>119047</v>
      </c>
      <c r="D116" s="61">
        <f t="shared" si="31"/>
        <v>20833.83166666667</v>
      </c>
      <c r="E116" s="61">
        <f t="shared" si="32"/>
        <v>139880.83166666667</v>
      </c>
      <c r="F116" s="61">
        <f t="shared" si="33"/>
        <v>1666710</v>
      </c>
      <c r="G116" s="31"/>
    </row>
    <row r="117" spans="1:7" ht="18" customHeight="1">
      <c r="A117" s="60">
        <v>80</v>
      </c>
      <c r="B117" s="62">
        <f t="shared" si="29"/>
        <v>1666710</v>
      </c>
      <c r="C117" s="61">
        <f t="shared" si="30"/>
        <v>119047</v>
      </c>
      <c r="D117" s="61">
        <f t="shared" si="31"/>
        <v>19444.95</v>
      </c>
      <c r="E117" s="61">
        <f t="shared" si="32"/>
        <v>138491.95</v>
      </c>
      <c r="F117" s="61">
        <f t="shared" si="33"/>
        <v>1547663</v>
      </c>
      <c r="G117" s="31"/>
    </row>
    <row r="118" spans="1:7" ht="18" customHeight="1">
      <c r="A118" s="60">
        <v>81</v>
      </c>
      <c r="B118" s="62">
        <f t="shared" si="29"/>
        <v>1547663</v>
      </c>
      <c r="C118" s="61">
        <f t="shared" si="30"/>
        <v>119047</v>
      </c>
      <c r="D118" s="61">
        <f t="shared" si="31"/>
        <v>18056.068333333333</v>
      </c>
      <c r="E118" s="61">
        <f t="shared" si="32"/>
        <v>137103.06833333333</v>
      </c>
      <c r="F118" s="61">
        <f t="shared" si="33"/>
        <v>1428616</v>
      </c>
      <c r="G118" s="31"/>
    </row>
    <row r="119" spans="1:7" ht="18" customHeight="1">
      <c r="A119" s="60">
        <v>82</v>
      </c>
      <c r="B119" s="62">
        <f t="shared" si="29"/>
        <v>1428616</v>
      </c>
      <c r="C119" s="61">
        <f t="shared" si="30"/>
        <v>119047</v>
      </c>
      <c r="D119" s="61">
        <f t="shared" si="31"/>
        <v>16667.18666666667</v>
      </c>
      <c r="E119" s="61">
        <f t="shared" si="32"/>
        <v>135714.18666666668</v>
      </c>
      <c r="F119" s="61">
        <f t="shared" si="33"/>
        <v>1309569</v>
      </c>
      <c r="G119" s="31"/>
    </row>
    <row r="120" spans="1:7" ht="18" customHeight="1">
      <c r="A120" s="60">
        <v>83</v>
      </c>
      <c r="B120" s="62">
        <f t="shared" si="29"/>
        <v>1309569</v>
      </c>
      <c r="C120" s="61">
        <f t="shared" si="30"/>
        <v>119047</v>
      </c>
      <c r="D120" s="61">
        <f t="shared" si="31"/>
        <v>15278.305</v>
      </c>
      <c r="E120" s="61">
        <f t="shared" si="32"/>
        <v>134325.305</v>
      </c>
      <c r="F120" s="61">
        <f t="shared" si="33"/>
        <v>1190522</v>
      </c>
      <c r="G120" s="31"/>
    </row>
    <row r="121" spans="1:7" ht="18" customHeight="1">
      <c r="A121" s="60">
        <v>84</v>
      </c>
      <c r="B121" s="62">
        <f t="shared" si="29"/>
        <v>1190522</v>
      </c>
      <c r="C121" s="61">
        <f t="shared" si="30"/>
        <v>119047</v>
      </c>
      <c r="D121" s="61">
        <f t="shared" si="31"/>
        <v>13889.423333333334</v>
      </c>
      <c r="E121" s="61">
        <f t="shared" si="32"/>
        <v>132936.42333333334</v>
      </c>
      <c r="F121" s="61">
        <f t="shared" si="33"/>
        <v>1071475</v>
      </c>
      <c r="G121" s="31"/>
    </row>
    <row r="122" spans="1:7" ht="18" customHeight="1" thickBot="1">
      <c r="A122" s="158"/>
      <c r="B122" s="152" t="s">
        <v>58</v>
      </c>
      <c r="C122" s="152">
        <f>SUM(C110:C121)</f>
        <v>1428564</v>
      </c>
      <c r="D122" s="152">
        <f>SUM(D110:D121)</f>
        <v>258339.27000000002</v>
      </c>
      <c r="E122" s="152">
        <f>SUM(E110:E121)</f>
        <v>1686903.2700000003</v>
      </c>
      <c r="F122" s="159"/>
      <c r="G122" s="31"/>
    </row>
    <row r="123" ht="18" customHeight="1" thickTop="1">
      <c r="G123" s="31"/>
    </row>
    <row r="124" ht="18" customHeight="1">
      <c r="G124" s="31"/>
    </row>
    <row r="125" ht="18" customHeight="1">
      <c r="G125" s="31"/>
    </row>
    <row r="126" spans="1:7" ht="18" customHeight="1">
      <c r="A126" s="204" t="s">
        <v>164</v>
      </c>
      <c r="B126" s="205"/>
      <c r="C126" s="53"/>
      <c r="D126" s="53"/>
      <c r="E126" s="53"/>
      <c r="F126" s="53"/>
      <c r="G126" s="31"/>
    </row>
    <row r="127" spans="1:7" ht="18" customHeight="1">
      <c r="A127" s="54" t="s">
        <v>50</v>
      </c>
      <c r="B127" s="55"/>
      <c r="C127" s="55" t="s">
        <v>51</v>
      </c>
      <c r="D127" s="56"/>
      <c r="E127" s="57">
        <v>0.14</v>
      </c>
      <c r="F127" s="58"/>
      <c r="G127" s="31"/>
    </row>
    <row r="128" spans="1:7" ht="18" customHeight="1">
      <c r="A128" s="59" t="s">
        <v>52</v>
      </c>
      <c r="B128" s="55" t="s">
        <v>53</v>
      </c>
      <c r="C128" s="55" t="s">
        <v>54</v>
      </c>
      <c r="D128" s="55" t="s">
        <v>55</v>
      </c>
      <c r="E128" s="55" t="s">
        <v>56</v>
      </c>
      <c r="F128" s="55" t="s">
        <v>57</v>
      </c>
      <c r="G128" s="31"/>
    </row>
    <row r="129" spans="1:6" ht="18" customHeight="1">
      <c r="A129" s="60">
        <v>85</v>
      </c>
      <c r="B129" s="62">
        <f>F121</f>
        <v>1071475</v>
      </c>
      <c r="C129" s="61">
        <f>C121</f>
        <v>119047</v>
      </c>
      <c r="D129" s="61">
        <f>B129*14%/12</f>
        <v>12500.541666666666</v>
      </c>
      <c r="E129" s="61">
        <f>C129+D129</f>
        <v>131547.54166666666</v>
      </c>
      <c r="F129" s="61">
        <f>B129-C129</f>
        <v>952428</v>
      </c>
    </row>
    <row r="130" spans="1:6" ht="18" customHeight="1">
      <c r="A130" s="60">
        <v>86</v>
      </c>
      <c r="B130" s="62">
        <f>F129</f>
        <v>952428</v>
      </c>
      <c r="C130" s="61">
        <f aca="true" t="shared" si="34" ref="C130:C136">C129</f>
        <v>119047</v>
      </c>
      <c r="D130" s="61">
        <f>B130*14%/12</f>
        <v>11111.660000000002</v>
      </c>
      <c r="E130" s="61">
        <f>C130+D130</f>
        <v>130158.66</v>
      </c>
      <c r="F130" s="61">
        <f>B130-C130</f>
        <v>833381</v>
      </c>
    </row>
    <row r="131" spans="1:6" ht="18" customHeight="1">
      <c r="A131" s="60">
        <v>87</v>
      </c>
      <c r="B131" s="62">
        <f>F130</f>
        <v>833381</v>
      </c>
      <c r="C131" s="61">
        <f t="shared" si="34"/>
        <v>119047</v>
      </c>
      <c r="D131" s="61">
        <f>B131*14%/12</f>
        <v>9722.778333333334</v>
      </c>
      <c r="E131" s="61">
        <f>C131+D131</f>
        <v>128769.77833333334</v>
      </c>
      <c r="F131" s="61">
        <f>B131-C131</f>
        <v>714334</v>
      </c>
    </row>
    <row r="132" spans="1:6" ht="18" customHeight="1">
      <c r="A132" s="60">
        <v>88</v>
      </c>
      <c r="B132" s="62">
        <f aca="true" t="shared" si="35" ref="B132:B137">F131</f>
        <v>714334</v>
      </c>
      <c r="C132" s="61">
        <f t="shared" si="34"/>
        <v>119047</v>
      </c>
      <c r="D132" s="61">
        <f aca="true" t="shared" si="36" ref="D132:D137">B132*14%/12</f>
        <v>8333.896666666667</v>
      </c>
      <c r="E132" s="61">
        <f aca="true" t="shared" si="37" ref="E132:E137">C132+D132</f>
        <v>127380.89666666667</v>
      </c>
      <c r="F132" s="61">
        <f aca="true" t="shared" si="38" ref="F132:F137">B132-C132</f>
        <v>595287</v>
      </c>
    </row>
    <row r="133" spans="1:6" ht="18" customHeight="1">
      <c r="A133" s="60">
        <v>89</v>
      </c>
      <c r="B133" s="62">
        <f t="shared" si="35"/>
        <v>595287</v>
      </c>
      <c r="C133" s="61">
        <f t="shared" si="34"/>
        <v>119047</v>
      </c>
      <c r="D133" s="61">
        <f t="shared" si="36"/>
        <v>6945.015</v>
      </c>
      <c r="E133" s="61">
        <f t="shared" si="37"/>
        <v>125992.015</v>
      </c>
      <c r="F133" s="61">
        <f t="shared" si="38"/>
        <v>476240</v>
      </c>
    </row>
    <row r="134" spans="1:6" ht="15">
      <c r="A134" s="60">
        <v>90</v>
      </c>
      <c r="B134" s="62">
        <f t="shared" si="35"/>
        <v>476240</v>
      </c>
      <c r="C134" s="61">
        <f t="shared" si="34"/>
        <v>119047</v>
      </c>
      <c r="D134" s="61">
        <f t="shared" si="36"/>
        <v>5556.133333333334</v>
      </c>
      <c r="E134" s="61">
        <f t="shared" si="37"/>
        <v>124603.13333333333</v>
      </c>
      <c r="F134" s="61">
        <f t="shared" si="38"/>
        <v>357193</v>
      </c>
    </row>
    <row r="135" spans="1:6" ht="15">
      <c r="A135" s="60">
        <v>91</v>
      </c>
      <c r="B135" s="62">
        <f t="shared" si="35"/>
        <v>357193</v>
      </c>
      <c r="C135" s="61">
        <f t="shared" si="34"/>
        <v>119047</v>
      </c>
      <c r="D135" s="61">
        <f t="shared" si="36"/>
        <v>4167.251666666667</v>
      </c>
      <c r="E135" s="61">
        <f t="shared" si="37"/>
        <v>123214.25166666666</v>
      </c>
      <c r="F135" s="61">
        <f t="shared" si="38"/>
        <v>238146</v>
      </c>
    </row>
    <row r="136" spans="1:6" ht="15">
      <c r="A136" s="60">
        <v>92</v>
      </c>
      <c r="B136" s="62">
        <f t="shared" si="35"/>
        <v>238146</v>
      </c>
      <c r="C136" s="61">
        <f t="shared" si="34"/>
        <v>119047</v>
      </c>
      <c r="D136" s="61">
        <f t="shared" si="36"/>
        <v>2778.3700000000003</v>
      </c>
      <c r="E136" s="61">
        <f t="shared" si="37"/>
        <v>121825.37</v>
      </c>
      <c r="F136" s="61">
        <f t="shared" si="38"/>
        <v>119099</v>
      </c>
    </row>
    <row r="137" spans="1:6" ht="15">
      <c r="A137" s="60">
        <v>93</v>
      </c>
      <c r="B137" s="62">
        <f t="shared" si="35"/>
        <v>119099</v>
      </c>
      <c r="C137" s="61">
        <f>C136+52</f>
        <v>119099</v>
      </c>
      <c r="D137" s="61">
        <f t="shared" si="36"/>
        <v>1389.4883333333335</v>
      </c>
      <c r="E137" s="61">
        <f t="shared" si="37"/>
        <v>120488.48833333333</v>
      </c>
      <c r="F137" s="61">
        <f t="shared" si="38"/>
        <v>0</v>
      </c>
    </row>
    <row r="138" spans="1:6" ht="15">
      <c r="A138" s="58"/>
      <c r="B138" s="58"/>
      <c r="C138" s="58"/>
      <c r="D138" s="58"/>
      <c r="E138" s="58"/>
      <c r="F138" s="58"/>
    </row>
    <row r="139" spans="1:6" ht="15">
      <c r="A139" s="58"/>
      <c r="B139" s="63" t="s">
        <v>58</v>
      </c>
      <c r="C139" s="63">
        <f>SUM(C129:C138)</f>
        <v>1071475</v>
      </c>
      <c r="D139" s="63">
        <f>SUM(D129:D138)</f>
        <v>62505.13500000001</v>
      </c>
      <c r="E139" s="63">
        <f>SUM(E129:E138)</f>
        <v>1133980.135</v>
      </c>
      <c r="F139" s="58"/>
    </row>
    <row r="144" ht="15">
      <c r="A144" s="179" t="s">
        <v>228</v>
      </c>
    </row>
  </sheetData>
  <mergeCells count="10">
    <mergeCell ref="A56:B56"/>
    <mergeCell ref="A1:F2"/>
    <mergeCell ref="A4:B4"/>
    <mergeCell ref="A22:B22"/>
    <mergeCell ref="A39:B39"/>
    <mergeCell ref="A3:F3"/>
    <mergeCell ref="A107:B107"/>
    <mergeCell ref="A126:B126"/>
    <mergeCell ref="A73:B73"/>
    <mergeCell ref="A90:B90"/>
  </mergeCells>
  <hyperlinks>
    <hyperlink ref="A144" r:id="rId1" display="www.cottonyarnmarket.net"/>
  </hyperlinks>
  <printOptions/>
  <pageMargins left="0" right="0" top="0" bottom="0" header="0" footer="0"/>
  <pageSetup horizontalDpi="600" verticalDpi="600" orientation="portrait" r:id="rId2"/>
  <rowBreaks count="2" manualBreakCount="2">
    <brk id="38" max="5" man="1"/>
    <brk id="7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88" workbookViewId="0" topLeftCell="A1">
      <selection activeCell="E10" sqref="E10"/>
    </sheetView>
  </sheetViews>
  <sheetFormatPr defaultColWidth="9.140625" defaultRowHeight="12.75"/>
  <cols>
    <col min="1" max="1" width="30.8515625" style="68" bestFit="1" customWidth="1"/>
    <col min="2" max="3" width="12.8515625" style="68" bestFit="1" customWidth="1"/>
    <col min="4" max="4" width="13.140625" style="68" bestFit="1" customWidth="1"/>
    <col min="5" max="6" width="12.8515625" style="68" bestFit="1" customWidth="1"/>
    <col min="7" max="7" width="13.140625" style="68" bestFit="1" customWidth="1"/>
    <col min="8" max="8" width="12.8515625" style="68" bestFit="1" customWidth="1"/>
    <col min="9" max="16384" width="9.140625" style="68" customWidth="1"/>
  </cols>
  <sheetData>
    <row r="1" spans="1:9" ht="34.5" customHeight="1">
      <c r="A1" s="215" t="s">
        <v>223</v>
      </c>
      <c r="B1" s="216"/>
      <c r="C1" s="216"/>
      <c r="D1" s="216"/>
      <c r="E1" s="216"/>
      <c r="F1" s="216"/>
      <c r="G1" s="216"/>
      <c r="H1" s="217"/>
      <c r="I1" s="67"/>
    </row>
    <row r="2" spans="1:9" ht="20.25" customHeight="1">
      <c r="A2" s="218" t="s">
        <v>64</v>
      </c>
      <c r="B2" s="193"/>
      <c r="C2" s="193"/>
      <c r="D2" s="193"/>
      <c r="E2" s="193"/>
      <c r="F2" s="193"/>
      <c r="G2" s="193"/>
      <c r="H2" s="219"/>
      <c r="I2" s="67"/>
    </row>
    <row r="3" spans="1:9" ht="15">
      <c r="A3" s="88"/>
      <c r="B3" s="149" t="s">
        <v>92</v>
      </c>
      <c r="C3" s="149" t="s">
        <v>65</v>
      </c>
      <c r="D3" s="149" t="s">
        <v>93</v>
      </c>
      <c r="E3" s="149" t="s">
        <v>94</v>
      </c>
      <c r="F3" s="149" t="s">
        <v>66</v>
      </c>
      <c r="G3" s="149" t="s">
        <v>95</v>
      </c>
      <c r="H3" s="148" t="s">
        <v>96</v>
      </c>
      <c r="I3" s="67"/>
    </row>
    <row r="4" spans="1:9" ht="20.25" customHeight="1">
      <c r="A4" s="69" t="s">
        <v>3</v>
      </c>
      <c r="B4" s="4" t="s">
        <v>67</v>
      </c>
      <c r="C4" s="4" t="s">
        <v>67</v>
      </c>
      <c r="D4" s="4" t="s">
        <v>67</v>
      </c>
      <c r="E4" s="4" t="s">
        <v>67</v>
      </c>
      <c r="F4" s="4" t="s">
        <v>67</v>
      </c>
      <c r="G4" s="70" t="s">
        <v>67</v>
      </c>
      <c r="H4" s="70" t="s">
        <v>67</v>
      </c>
      <c r="I4" s="67"/>
    </row>
    <row r="5" spans="1:9" ht="22.5" customHeight="1">
      <c r="A5" s="71" t="s">
        <v>68</v>
      </c>
      <c r="B5" s="12"/>
      <c r="C5" s="12"/>
      <c r="D5" s="12"/>
      <c r="E5" s="12"/>
      <c r="F5" s="12"/>
      <c r="G5" s="72"/>
      <c r="H5" s="72"/>
      <c r="I5" s="67"/>
    </row>
    <row r="6" spans="1:9" ht="23.25" customHeight="1">
      <c r="A6" s="73" t="s">
        <v>69</v>
      </c>
      <c r="B6" s="74">
        <f>'Balance Sheet'!B20+'Balance Sheet'!B21</f>
        <v>55000</v>
      </c>
      <c r="C6" s="74">
        <f>'Balance Sheet'!C20+'Balance Sheet'!C21</f>
        <v>55000</v>
      </c>
      <c r="D6" s="74">
        <f>'Balance Sheet'!D20+'Balance Sheet'!D21</f>
        <v>55000</v>
      </c>
      <c r="E6" s="74">
        <f>'Balance Sheet'!E20+'Balance Sheet'!E21</f>
        <v>55000</v>
      </c>
      <c r="F6" s="74">
        <f>'Balance Sheet'!F20+'Balance Sheet'!F21</f>
        <v>55000</v>
      </c>
      <c r="G6" s="74">
        <f>'Balance Sheet'!G20+'Balance Sheet'!G21</f>
        <v>55000</v>
      </c>
      <c r="H6" s="75">
        <f>'Balance Sheet'!H20+'Balance Sheet'!H21</f>
        <v>55000</v>
      </c>
      <c r="I6" s="67"/>
    </row>
    <row r="7" spans="1:9" ht="21" customHeight="1">
      <c r="A7" s="73" t="s">
        <v>70</v>
      </c>
      <c r="B7" s="74">
        <f>'Balance Sheet'!B26</f>
        <v>10034490</v>
      </c>
      <c r="C7" s="74">
        <f>'Balance Sheet'!C26</f>
        <v>12010640.25</v>
      </c>
      <c r="D7" s="74">
        <f>'Balance Sheet'!D26</f>
        <v>13283328.7125</v>
      </c>
      <c r="E7" s="74">
        <f>'Balance Sheet'!E26</f>
        <v>14806979.012578124</v>
      </c>
      <c r="F7" s="74">
        <f>'Balance Sheet'!F26</f>
        <v>15808674.124872265</v>
      </c>
      <c r="G7" s="74">
        <f>'Balance Sheet'!G26</f>
        <v>17177185.461039625</v>
      </c>
      <c r="H7" s="75">
        <f>'Balance Sheet'!H26</f>
        <v>18288820.3691261</v>
      </c>
      <c r="I7" s="67"/>
    </row>
    <row r="8" spans="1:9" ht="22.5" customHeight="1">
      <c r="A8" s="73" t="s">
        <v>71</v>
      </c>
      <c r="B8" s="74">
        <f>'Balance Sheet'!B23+'Balance Sheet'!B24+'Balance Sheet'!B25</f>
        <v>6219836.583599593</v>
      </c>
      <c r="C8" s="74">
        <f>'Balance Sheet'!C23+'Balance Sheet'!C24+'Balance Sheet'!C25</f>
        <v>8250389.686547705</v>
      </c>
      <c r="D8" s="74">
        <f>'Balance Sheet'!D23+'Balance Sheet'!D24+'Balance Sheet'!D25</f>
        <v>10538506.521032782</v>
      </c>
      <c r="E8" s="74">
        <f>'Balance Sheet'!E23+'Balance Sheet'!E24+'Balance Sheet'!E25</f>
        <v>12884112.74275949</v>
      </c>
      <c r="F8" s="74">
        <f>'Balance Sheet'!F23+'Balance Sheet'!F24+'Balance Sheet'!F25</f>
        <v>15092780.634218775</v>
      </c>
      <c r="G8" s="74">
        <f>'Balance Sheet'!G23+'Balance Sheet'!G24+'Balance Sheet'!G25</f>
        <v>17284175.286698993</v>
      </c>
      <c r="H8" s="75">
        <f>'Balance Sheet'!H23+'Balance Sheet'!H24+'Balance Sheet'!H25</f>
        <v>18669210.087692037</v>
      </c>
      <c r="I8" s="67"/>
    </row>
    <row r="9" spans="1:9" ht="21" customHeight="1">
      <c r="A9" s="76" t="s">
        <v>72</v>
      </c>
      <c r="B9" s="77">
        <f>SUM(B6:B8)</f>
        <v>16309326.583599593</v>
      </c>
      <c r="C9" s="78">
        <f aca="true" t="shared" si="0" ref="C9:H9">SUM(C6:C8)</f>
        <v>20316029.936547704</v>
      </c>
      <c r="D9" s="78">
        <f t="shared" si="0"/>
        <v>23876835.233532783</v>
      </c>
      <c r="E9" s="78">
        <f t="shared" si="0"/>
        <v>27746091.755337615</v>
      </c>
      <c r="F9" s="78">
        <f t="shared" si="0"/>
        <v>30956454.759091042</v>
      </c>
      <c r="G9" s="79">
        <f t="shared" si="0"/>
        <v>34516360.747738615</v>
      </c>
      <c r="H9" s="79">
        <f t="shared" si="0"/>
        <v>37013030.45681813</v>
      </c>
      <c r="I9" s="67"/>
    </row>
    <row r="10" spans="1:9" ht="27.75" customHeight="1">
      <c r="A10" s="71" t="s">
        <v>75</v>
      </c>
      <c r="B10" s="74">
        <f>'Balance Sheet'!B11+'Balance Sheet'!B12</f>
        <v>7000000</v>
      </c>
      <c r="C10" s="74">
        <f>'Balance Sheet'!C11+'Balance Sheet'!C12</f>
        <v>7866250</v>
      </c>
      <c r="D10" s="74">
        <f>'Balance Sheet'!D11+'Balance Sheet'!D12</f>
        <v>8916645</v>
      </c>
      <c r="E10" s="74">
        <f>'Balance Sheet'!E11+'Balance Sheet'!E12</f>
        <v>10090358.4375</v>
      </c>
      <c r="F10" s="74">
        <f>'Balance Sheet'!F11+'Balance Sheet'!F12</f>
        <v>10910043.177083334</v>
      </c>
      <c r="G10" s="74">
        <f>'Balance Sheet'!G11+'Balance Sheet'!G12</f>
        <v>12003748.822916666</v>
      </c>
      <c r="H10" s="75">
        <f>'Balance Sheet'!H11+'Balance Sheet'!H12</f>
        <v>12870931.135546876</v>
      </c>
      <c r="I10" s="67"/>
    </row>
    <row r="11" spans="1:9" ht="37.5" customHeight="1">
      <c r="A11" s="76" t="s">
        <v>73</v>
      </c>
      <c r="B11" s="74">
        <f aca="true" t="shared" si="1" ref="B11:H11">B9-B10</f>
        <v>9309326.583599593</v>
      </c>
      <c r="C11" s="74">
        <f t="shared" si="1"/>
        <v>12449779.936547704</v>
      </c>
      <c r="D11" s="74">
        <f t="shared" si="1"/>
        <v>14960190.233532783</v>
      </c>
      <c r="E11" s="74">
        <f t="shared" si="1"/>
        <v>17655733.317837615</v>
      </c>
      <c r="F11" s="74">
        <f t="shared" si="1"/>
        <v>20046411.582007706</v>
      </c>
      <c r="G11" s="75">
        <f t="shared" si="1"/>
        <v>22512611.92482195</v>
      </c>
      <c r="H11" s="75">
        <f t="shared" si="1"/>
        <v>24142099.321271256</v>
      </c>
      <c r="I11" s="67"/>
    </row>
    <row r="12" spans="1:9" ht="30" customHeight="1">
      <c r="A12" s="73" t="s">
        <v>76</v>
      </c>
      <c r="B12" s="74">
        <f aca="true" t="shared" si="2" ref="B12:H12">B9*25%</f>
        <v>4077331.6458998984</v>
      </c>
      <c r="C12" s="74">
        <f t="shared" si="2"/>
        <v>5079007.484136926</v>
      </c>
      <c r="D12" s="74">
        <f t="shared" si="2"/>
        <v>5969208.808383196</v>
      </c>
      <c r="E12" s="74">
        <f t="shared" si="2"/>
        <v>6936522.938834404</v>
      </c>
      <c r="F12" s="74">
        <f t="shared" si="2"/>
        <v>7739113.6897727605</v>
      </c>
      <c r="G12" s="75">
        <f t="shared" si="2"/>
        <v>8629090.186934654</v>
      </c>
      <c r="H12" s="75">
        <f t="shared" si="2"/>
        <v>9253257.614204533</v>
      </c>
      <c r="I12" s="67"/>
    </row>
    <row r="13" spans="1:9" ht="33.75" customHeight="1">
      <c r="A13" s="80" t="s">
        <v>74</v>
      </c>
      <c r="B13" s="77">
        <f aca="true" t="shared" si="3" ref="B13:H13">B11-B12</f>
        <v>5231994.937699695</v>
      </c>
      <c r="C13" s="77">
        <f t="shared" si="3"/>
        <v>7370772.452410778</v>
      </c>
      <c r="D13" s="77">
        <f t="shared" si="3"/>
        <v>8990981.425149586</v>
      </c>
      <c r="E13" s="77">
        <f t="shared" si="3"/>
        <v>10719210.379003212</v>
      </c>
      <c r="F13" s="77">
        <f t="shared" si="3"/>
        <v>12307297.892234946</v>
      </c>
      <c r="G13" s="81">
        <f t="shared" si="3"/>
        <v>13883521.737887297</v>
      </c>
      <c r="H13" s="81">
        <f t="shared" si="3"/>
        <v>14888841.707066722</v>
      </c>
      <c r="I13" s="67"/>
    </row>
    <row r="14" spans="1:9" ht="15.75" thickBot="1">
      <c r="A14" s="82"/>
      <c r="B14" s="83"/>
      <c r="C14" s="83"/>
      <c r="D14" s="83"/>
      <c r="E14" s="83"/>
      <c r="F14" s="83"/>
      <c r="G14" s="84"/>
      <c r="H14" s="84"/>
      <c r="I14" s="67"/>
    </row>
    <row r="15" spans="1:7" ht="15">
      <c r="A15" s="85"/>
      <c r="B15" s="85"/>
      <c r="C15" s="85"/>
      <c r="D15" s="85"/>
      <c r="E15" s="85"/>
      <c r="F15" s="85"/>
      <c r="G15" s="85"/>
    </row>
    <row r="16" spans="2:7" ht="15">
      <c r="B16" s="86"/>
      <c r="C16" s="86"/>
      <c r="D16" s="86"/>
      <c r="E16" s="86"/>
      <c r="F16" s="86"/>
      <c r="G16" s="86"/>
    </row>
    <row r="26" ht="15">
      <c r="A26" s="179" t="s">
        <v>228</v>
      </c>
    </row>
  </sheetData>
  <mergeCells count="2">
    <mergeCell ref="A1:H1"/>
    <mergeCell ref="A2:H2"/>
  </mergeCells>
  <hyperlinks>
    <hyperlink ref="A26" r:id="rId1" display="www.cottonyarnmarket.net"/>
  </hyperlinks>
  <printOptions/>
  <pageMargins left="0.92" right="0.75" top="1.7" bottom="1" header="1.34" footer="0.5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CLASSIC</cp:lastModifiedBy>
  <cp:lastPrinted>2009-02-09T05:22:47Z</cp:lastPrinted>
  <dcterms:created xsi:type="dcterms:W3CDTF">1996-10-14T23:33:28Z</dcterms:created>
  <dcterms:modified xsi:type="dcterms:W3CDTF">2009-04-16T13:35:44Z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